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5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Bernard</author>
  </authors>
  <commentList>
    <comment ref="D27" authorId="0">
      <text>
        <r>
          <rPr>
            <sz val="8"/>
            <rFont val="Tahoma"/>
            <family val="0"/>
          </rPr>
          <t>Jours</t>
        </r>
      </text>
    </comment>
    <comment ref="E27" authorId="0">
      <text>
        <r>
          <rPr>
            <sz val="8"/>
            <rFont val="Tahoma"/>
            <family val="0"/>
          </rPr>
          <t>18 € de forfait hospitalier
60 € de ch individuelle</t>
        </r>
      </text>
    </comment>
    <comment ref="J6" authorId="0">
      <text>
        <r>
          <rPr>
            <sz val="8"/>
            <rFont val="Tahoma"/>
            <family val="0"/>
          </rPr>
          <t>Prix de référence et remboursement moyen des contrats Individuels souscrits (2012)</t>
        </r>
      </text>
    </comment>
    <comment ref="E28" authorId="0">
      <text>
        <r>
          <rPr>
            <sz val="8"/>
            <rFont val="Tahoma"/>
            <family val="0"/>
          </rPr>
          <t>Coût estimé  !</t>
        </r>
      </text>
    </comment>
    <comment ref="M6" authorId="0">
      <text>
        <r>
          <rPr>
            <sz val="8"/>
            <rFont val="Tahoma"/>
            <family val="0"/>
          </rPr>
          <t>Prix de référence et remboursement moyen des contrats Individuels souscrits (2012)</t>
        </r>
      </text>
    </comment>
    <comment ref="G16" authorId="0">
      <text>
        <r>
          <rPr>
            <sz val="8"/>
            <rFont val="Tahoma"/>
            <family val="0"/>
          </rPr>
          <t>2,24 € par verre normal et variable pour verre progressif -&gt;ex 6,66 €</t>
        </r>
      </text>
    </comment>
  </commentList>
</comments>
</file>

<file path=xl/sharedStrings.xml><?xml version="1.0" encoding="utf-8"?>
<sst xmlns="http://schemas.openxmlformats.org/spreadsheetml/2006/main" count="70" uniqueCount="69">
  <si>
    <t>Coût unitaire</t>
  </si>
  <si>
    <t>Dépenses Santé</t>
  </si>
  <si>
    <t xml:space="preserve">         Dépenses de Santé</t>
  </si>
  <si>
    <t>Sécurité Sociale</t>
  </si>
  <si>
    <t>Contrat OC Standard</t>
  </si>
  <si>
    <t>Contrat Hospitalisation</t>
  </si>
  <si>
    <t>Sans complémentaire</t>
  </si>
  <si>
    <t>Consultation de spécialiste de secteur 2</t>
  </si>
  <si>
    <t>Radiologie &amp; Imagerie médicale</t>
  </si>
  <si>
    <t>Laboratoire d'analyses médicales</t>
  </si>
  <si>
    <t>Séances de kinésithérappie</t>
  </si>
  <si>
    <t>Prothèses dentaires</t>
  </si>
  <si>
    <t>Actes d'ostéopathie</t>
  </si>
  <si>
    <t>Médicaments remboursés à 15% (vignette orange)</t>
  </si>
  <si>
    <t>Médicaments remboursés à 30% (vignette bleue)</t>
  </si>
  <si>
    <t>Chirurgie (ex cataracte)</t>
  </si>
  <si>
    <t>Observations</t>
  </si>
  <si>
    <t>Tarif Conventionné</t>
  </si>
  <si>
    <t>Actes les plus fréquents</t>
  </si>
  <si>
    <t>Cataractes</t>
  </si>
  <si>
    <t>Chirurgie</t>
  </si>
  <si>
    <t>Anesthésie</t>
  </si>
  <si>
    <t>Varices</t>
  </si>
  <si>
    <t>Suture ménisque</t>
  </si>
  <si>
    <t>Phimosis</t>
  </si>
  <si>
    <t>Cholecystectomie</t>
  </si>
  <si>
    <t>Prothèse totale de la hanche</t>
  </si>
  <si>
    <t>Césarienne</t>
  </si>
  <si>
    <t>Cure hernie inguinale avec prothèse</t>
  </si>
  <si>
    <t>Hernie discale lombaire</t>
  </si>
  <si>
    <t>Reésection endoscopie de la prostate</t>
  </si>
  <si>
    <t>Cure incontinence urinaire (TVT)</t>
  </si>
  <si>
    <t>Drainage abcès</t>
  </si>
  <si>
    <t>Appendicectomie</t>
  </si>
  <si>
    <t>Destrution lésion vessie</t>
  </si>
  <si>
    <t>Ablations de végétations</t>
  </si>
  <si>
    <t>Curetage de l'utérus</t>
  </si>
  <si>
    <t>Ablation d'une tumeur du sein</t>
  </si>
  <si>
    <t>Ablation totale de la thyroïde</t>
  </si>
  <si>
    <t>Canal carpien en endoscopie</t>
  </si>
  <si>
    <t>Ablation colon gauche</t>
  </si>
  <si>
    <t>Prothèse totale du genou</t>
  </si>
  <si>
    <t>Ablation partielle thyroïde</t>
  </si>
  <si>
    <t>Ablation utérus</t>
  </si>
  <si>
    <t>Suture plaie faciale</t>
  </si>
  <si>
    <t>Consultation de spécialiste de secteur 1</t>
  </si>
  <si>
    <t>Tarif OC</t>
  </si>
  <si>
    <t>Ticket modérateur: différence entre le Base de Remboursement (BR) et le remboursement effectué par l'Assurance Maladie Obligatoire</t>
  </si>
  <si>
    <t xml:space="preserve"> /</t>
  </si>
  <si>
    <t>Tarifs opposables (TO) d'actes de chirurgie</t>
  </si>
  <si>
    <t>Nombre d'Années -&gt;</t>
  </si>
  <si>
    <r>
      <t>Bénéfice</t>
    </r>
    <r>
      <rPr>
        <b/>
        <sz val="10"/>
        <color indexed="10"/>
        <rFont val="Arial"/>
        <family val="0"/>
      </rPr>
      <t>/perte hors hospitalisation</t>
    </r>
  </si>
  <si>
    <r>
      <t>Bénéfice</t>
    </r>
    <r>
      <rPr>
        <b/>
        <sz val="10"/>
        <color indexed="10"/>
        <rFont val="Arial"/>
        <family val="0"/>
      </rPr>
      <t>/perte avec hospitalisation</t>
    </r>
  </si>
  <si>
    <t>Consommation                                                                   de                                                                          soins</t>
  </si>
  <si>
    <t>Nombre total</t>
  </si>
  <si>
    <t>Version N°1 du 12 février 2014</t>
  </si>
  <si>
    <t>Total hors hospitalisation</t>
  </si>
  <si>
    <t>TOTAL avec hospitalisation</t>
  </si>
  <si>
    <t>Nombre/an</t>
  </si>
  <si>
    <t>Hospitalisation (frais de séjour, forfait, cha particu)</t>
  </si>
  <si>
    <t>Avec un contrat OC standard</t>
  </si>
  <si>
    <t xml:space="preserve">     Reste à charge patients</t>
  </si>
  <si>
    <t xml:space="preserve">                 Remboursement                               </t>
  </si>
  <si>
    <r>
      <t xml:space="preserve">Avec un contrat hospitalisation </t>
    </r>
    <r>
      <rPr>
        <b/>
        <sz val="10"/>
        <color indexed="9"/>
        <rFont val="Arial"/>
        <family val="2"/>
      </rPr>
      <t>seul</t>
    </r>
  </si>
  <si>
    <t>Tableau de simulation -&gt; couple de retraités 65 ans</t>
  </si>
  <si>
    <r>
      <t>Paires de lunettes</t>
    </r>
    <r>
      <rPr>
        <sz val="8"/>
        <rFont val="Arial"/>
        <family val="0"/>
      </rPr>
      <t xml:space="preserve"> adultes à verres progressifs</t>
    </r>
  </si>
  <si>
    <r>
      <t>Consultation</t>
    </r>
    <r>
      <rPr>
        <sz val="8"/>
        <rFont val="Arial"/>
        <family val="0"/>
      </rPr>
      <t xml:space="preserve"> de généraliste</t>
    </r>
  </si>
  <si>
    <r>
      <t>Médicaments</t>
    </r>
    <r>
      <rPr>
        <sz val="8"/>
        <rFont val="Arial"/>
        <family val="0"/>
      </rPr>
      <t xml:space="preserve"> remboursés à 65% (vignette blanche)</t>
    </r>
  </si>
  <si>
    <t>Page 144 du livre de F.Bizard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</si>
</sst>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\ &quot;€&quot;"/>
  </numFmts>
  <fonts count="21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0"/>
    </font>
    <font>
      <sz val="8"/>
      <name val="Tahoma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i/>
      <sz val="8"/>
      <name val="Arial"/>
      <family val="0"/>
    </font>
    <font>
      <i/>
      <sz val="8"/>
      <color indexed="12"/>
      <name val="Arial"/>
      <family val="0"/>
    </font>
    <font>
      <b/>
      <i/>
      <sz val="8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9"/>
      <name val="Arial"/>
      <family val="2"/>
    </font>
    <font>
      <b/>
      <sz val="12"/>
      <color indexed="10"/>
      <name val="Arial"/>
      <family val="0"/>
    </font>
    <font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dashed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dotted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dashed"/>
      <top>
        <color indexed="63"/>
      </top>
      <bottom style="thick"/>
    </border>
    <border>
      <left style="dashed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dashed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ashed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ck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ck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/>
      <protection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  <protection/>
    </xf>
    <xf numFmtId="165" fontId="6" fillId="2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" borderId="7" xfId="0" applyFont="1" applyFill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4" borderId="9" xfId="0" applyFont="1" applyFill="1" applyBorder="1" applyAlignment="1" applyProtection="1">
      <alignment/>
      <protection/>
    </xf>
    <xf numFmtId="0" fontId="9" fillId="5" borderId="10" xfId="0" applyFont="1" applyFill="1" applyBorder="1" applyAlignment="1" applyProtection="1">
      <alignment/>
      <protection/>
    </xf>
    <xf numFmtId="0" fontId="9" fillId="5" borderId="11" xfId="0" applyFont="1" applyFill="1" applyBorder="1" applyAlignment="1" applyProtection="1">
      <alignment/>
      <protection/>
    </xf>
    <xf numFmtId="0" fontId="9" fillId="5" borderId="12" xfId="0" applyFont="1" applyFill="1" applyBorder="1" applyAlignment="1" applyProtection="1">
      <alignment/>
      <protection/>
    </xf>
    <xf numFmtId="0" fontId="9" fillId="6" borderId="13" xfId="0" applyFont="1" applyFill="1" applyBorder="1" applyAlignment="1" applyProtection="1">
      <alignment/>
      <protection/>
    </xf>
    <xf numFmtId="0" fontId="9" fillId="6" borderId="14" xfId="0" applyFont="1" applyFill="1" applyBorder="1" applyAlignment="1" applyProtection="1">
      <alignment/>
      <protection/>
    </xf>
    <xf numFmtId="0" fontId="9" fillId="6" borderId="11" xfId="0" applyFont="1" applyFill="1" applyBorder="1" applyAlignment="1" applyProtection="1">
      <alignment/>
      <protection/>
    </xf>
    <xf numFmtId="0" fontId="9" fillId="6" borderId="12" xfId="0" applyFont="1" applyFill="1" applyBorder="1" applyAlignment="1" applyProtection="1">
      <alignment/>
      <protection/>
    </xf>
    <xf numFmtId="0" fontId="9" fillId="7" borderId="15" xfId="0" applyFont="1" applyFill="1" applyBorder="1" applyAlignment="1" applyProtection="1">
      <alignment/>
      <protection/>
    </xf>
    <xf numFmtId="0" fontId="9" fillId="7" borderId="16" xfId="0" applyFont="1" applyFill="1" applyBorder="1" applyAlignment="1" applyProtection="1">
      <alignment/>
      <protection/>
    </xf>
    <xf numFmtId="0" fontId="9" fillId="7" borderId="17" xfId="0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5" borderId="21" xfId="0" applyFont="1" applyFill="1" applyBorder="1" applyAlignment="1" applyProtection="1">
      <alignment horizontal="center" vertical="center" wrapText="1"/>
      <protection/>
    </xf>
    <xf numFmtId="0" fontId="9" fillId="5" borderId="22" xfId="0" applyFont="1" applyFill="1" applyBorder="1" applyAlignment="1" applyProtection="1">
      <alignment wrapText="1"/>
      <protection/>
    </xf>
    <xf numFmtId="0" fontId="9" fillId="5" borderId="23" xfId="0" applyFont="1" applyFill="1" applyBorder="1" applyAlignment="1" applyProtection="1">
      <alignment wrapText="1"/>
      <protection/>
    </xf>
    <xf numFmtId="0" fontId="9" fillId="5" borderId="24" xfId="0" applyFont="1" applyFill="1" applyBorder="1" applyAlignment="1" applyProtection="1">
      <alignment wrapText="1"/>
      <protection/>
    </xf>
    <xf numFmtId="0" fontId="9" fillId="6" borderId="25" xfId="0" applyFont="1" applyFill="1" applyBorder="1" applyAlignment="1" applyProtection="1">
      <alignment wrapText="1"/>
      <protection/>
    </xf>
    <xf numFmtId="0" fontId="9" fillId="6" borderId="26" xfId="0" applyFont="1" applyFill="1" applyBorder="1" applyAlignment="1" applyProtection="1">
      <alignment wrapText="1"/>
      <protection/>
    </xf>
    <xf numFmtId="0" fontId="9" fillId="6" borderId="27" xfId="0" applyFont="1" applyFill="1" applyBorder="1" applyAlignment="1" applyProtection="1">
      <alignment horizontal="center" wrapText="1"/>
      <protection/>
    </xf>
    <xf numFmtId="0" fontId="9" fillId="6" borderId="22" xfId="0" applyFont="1" applyFill="1" applyBorder="1" applyAlignment="1" applyProtection="1">
      <alignment wrapText="1"/>
      <protection/>
    </xf>
    <xf numFmtId="0" fontId="9" fillId="6" borderId="24" xfId="0" applyFont="1" applyFill="1" applyBorder="1" applyAlignment="1" applyProtection="1">
      <alignment wrapText="1"/>
      <protection/>
    </xf>
    <xf numFmtId="0" fontId="9" fillId="7" borderId="28" xfId="0" applyFont="1" applyFill="1" applyBorder="1" applyAlignment="1" applyProtection="1">
      <alignment wrapText="1"/>
      <protection/>
    </xf>
    <xf numFmtId="0" fontId="9" fillId="7" borderId="23" xfId="0" applyFont="1" applyFill="1" applyBorder="1" applyAlignment="1" applyProtection="1">
      <alignment wrapText="1"/>
      <protection/>
    </xf>
    <xf numFmtId="0" fontId="9" fillId="7" borderId="24" xfId="0" applyFont="1" applyFill="1" applyBorder="1" applyAlignment="1" applyProtection="1">
      <alignment wrapText="1"/>
      <protection/>
    </xf>
    <xf numFmtId="0" fontId="9" fillId="4" borderId="2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8" borderId="6" xfId="0" applyNumberFormat="1" applyFont="1" applyFill="1" applyBorder="1" applyAlignment="1" applyProtection="1">
      <alignment horizontal="center" vertical="center"/>
      <protection/>
    </xf>
    <xf numFmtId="165" fontId="4" fillId="9" borderId="31" xfId="0" applyNumberFormat="1" applyFont="1" applyFill="1" applyBorder="1" applyAlignment="1" applyProtection="1">
      <alignment horizontal="center" vertical="center"/>
      <protection/>
    </xf>
    <xf numFmtId="165" fontId="6" fillId="10" borderId="32" xfId="0" applyNumberFormat="1" applyFont="1" applyFill="1" applyBorder="1" applyAlignment="1" applyProtection="1">
      <alignment horizontal="center" vertical="center"/>
      <protection/>
    </xf>
    <xf numFmtId="165" fontId="6" fillId="8" borderId="2" xfId="0" applyNumberFormat="1" applyFont="1" applyFill="1" applyBorder="1" applyAlignment="1" applyProtection="1">
      <alignment horizontal="center" vertical="center"/>
      <protection/>
    </xf>
    <xf numFmtId="165" fontId="6" fillId="9" borderId="31" xfId="0" applyNumberFormat="1" applyFont="1" applyFill="1" applyBorder="1" applyAlignment="1" applyProtection="1">
      <alignment horizontal="center" vertical="center"/>
      <protection/>
    </xf>
    <xf numFmtId="165" fontId="2" fillId="9" borderId="31" xfId="0" applyNumberFormat="1" applyFont="1" applyFill="1" applyBorder="1" applyAlignment="1" applyProtection="1">
      <alignment horizontal="center" vertical="center"/>
      <protection/>
    </xf>
    <xf numFmtId="165" fontId="3" fillId="10" borderId="32" xfId="0" applyNumberFormat="1" applyFont="1" applyFill="1" applyBorder="1" applyAlignment="1" applyProtection="1">
      <alignment horizontal="center" vertical="center"/>
      <protection/>
    </xf>
    <xf numFmtId="165" fontId="3" fillId="8" borderId="2" xfId="0" applyNumberFormat="1" applyFont="1" applyFill="1" applyBorder="1" applyAlignment="1" applyProtection="1">
      <alignment horizontal="center" vertical="center"/>
      <protection/>
    </xf>
    <xf numFmtId="165" fontId="3" fillId="9" borderId="31" xfId="0" applyNumberFormat="1" applyFont="1" applyFill="1" applyBorder="1" applyAlignment="1" applyProtection="1">
      <alignment horizontal="center" vertical="center"/>
      <protection/>
    </xf>
    <xf numFmtId="165" fontId="14" fillId="10" borderId="32" xfId="0" applyNumberFormat="1" applyFont="1" applyFill="1" applyBorder="1" applyAlignment="1" applyProtection="1">
      <alignment horizontal="center" vertical="center"/>
      <protection/>
    </xf>
    <xf numFmtId="165" fontId="14" fillId="8" borderId="2" xfId="0" applyNumberFormat="1" applyFont="1" applyFill="1" applyBorder="1" applyAlignment="1" applyProtection="1">
      <alignment horizontal="center" vertical="center"/>
      <protection/>
    </xf>
    <xf numFmtId="165" fontId="14" fillId="9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5" fontId="6" fillId="11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6" fontId="4" fillId="0" borderId="33" xfId="0" applyNumberFormat="1" applyFont="1" applyFill="1" applyBorder="1" applyAlignment="1" applyProtection="1">
      <alignment horizontal="center" vertical="center"/>
      <protection locked="0"/>
    </xf>
    <xf numFmtId="166" fontId="12" fillId="0" borderId="34" xfId="0" applyNumberFormat="1" applyFont="1" applyFill="1" applyBorder="1" applyAlignment="1" applyProtection="1">
      <alignment horizontal="center" vertical="center"/>
      <protection locked="0"/>
    </xf>
    <xf numFmtId="166" fontId="4" fillId="0" borderId="34" xfId="0" applyNumberFormat="1" applyFont="1" applyFill="1" applyBorder="1" applyAlignment="1" applyProtection="1">
      <alignment horizontal="center" vertical="center"/>
      <protection locked="0"/>
    </xf>
    <xf numFmtId="165" fontId="4" fillId="0" borderId="34" xfId="0" applyNumberFormat="1" applyFont="1" applyFill="1" applyBorder="1" applyAlignment="1" applyProtection="1">
      <alignment horizontal="center" vertical="center"/>
      <protection locked="0"/>
    </xf>
    <xf numFmtId="165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1" fillId="12" borderId="37" xfId="0" applyFont="1" applyFill="1" applyBorder="1" applyAlignment="1" applyProtection="1">
      <alignment horizontal="center" vertical="center" wrapText="1"/>
      <protection/>
    </xf>
    <xf numFmtId="0" fontId="11" fillId="12" borderId="38" xfId="0" applyFont="1" applyFill="1" applyBorder="1" applyAlignment="1" applyProtection="1">
      <alignment horizontal="center" vertical="center" wrapText="1"/>
      <protection locked="0"/>
    </xf>
    <xf numFmtId="0" fontId="0" fillId="12" borderId="39" xfId="0" applyFont="1" applyFill="1" applyBorder="1" applyAlignment="1" applyProtection="1">
      <alignment horizontal="center" vertical="center"/>
      <protection/>
    </xf>
    <xf numFmtId="165" fontId="0" fillId="12" borderId="40" xfId="0" applyNumberFormat="1" applyFont="1" applyFill="1" applyBorder="1" applyAlignment="1" applyProtection="1">
      <alignment horizontal="center" vertical="center"/>
      <protection/>
    </xf>
    <xf numFmtId="165" fontId="11" fillId="12" borderId="41" xfId="0" applyNumberFormat="1" applyFont="1" applyFill="1" applyBorder="1" applyAlignment="1" applyProtection="1">
      <alignment horizontal="center" vertical="center"/>
      <protection/>
    </xf>
    <xf numFmtId="165" fontId="10" fillId="12" borderId="38" xfId="0" applyNumberFormat="1" applyFont="1" applyFill="1" applyBorder="1" applyAlignment="1" applyProtection="1">
      <alignment horizontal="center" vertical="center"/>
      <protection locked="0"/>
    </xf>
    <xf numFmtId="165" fontId="11" fillId="12" borderId="39" xfId="0" applyNumberFormat="1" applyFont="1" applyFill="1" applyBorder="1" applyAlignment="1" applyProtection="1">
      <alignment horizontal="center" vertical="center"/>
      <protection/>
    </xf>
    <xf numFmtId="165" fontId="11" fillId="12" borderId="42" xfId="0" applyNumberFormat="1" applyFont="1" applyFill="1" applyBorder="1" applyAlignment="1" applyProtection="1">
      <alignment horizontal="center" vertical="center"/>
      <protection locked="0"/>
    </xf>
    <xf numFmtId="165" fontId="10" fillId="12" borderId="39" xfId="0" applyNumberFormat="1" applyFont="1" applyFill="1" applyBorder="1" applyAlignment="1" applyProtection="1">
      <alignment horizontal="center" vertical="center"/>
      <protection/>
    </xf>
    <xf numFmtId="165" fontId="10" fillId="12" borderId="41" xfId="0" applyNumberFormat="1" applyFont="1" applyFill="1" applyBorder="1" applyAlignment="1" applyProtection="1">
      <alignment horizontal="center" vertical="center"/>
      <protection/>
    </xf>
    <xf numFmtId="165" fontId="10" fillId="12" borderId="43" xfId="0" applyNumberFormat="1" applyFont="1" applyFill="1" applyBorder="1" applyAlignment="1" applyProtection="1">
      <alignment horizontal="center" vertical="center"/>
      <protection/>
    </xf>
    <xf numFmtId="165" fontId="11" fillId="12" borderId="4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/>
      <protection/>
    </xf>
    <xf numFmtId="165" fontId="0" fillId="0" borderId="16" xfId="0" applyNumberFormat="1" applyFont="1" applyBorder="1" applyAlignment="1" applyProtection="1">
      <alignment horizontal="center"/>
      <protection/>
    </xf>
    <xf numFmtId="165" fontId="10" fillId="0" borderId="16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65" fontId="3" fillId="10" borderId="45" xfId="0" applyNumberFormat="1" applyFont="1" applyFill="1" applyBorder="1" applyAlignment="1" applyProtection="1">
      <alignment horizontal="center" vertical="center"/>
      <protection/>
    </xf>
    <xf numFmtId="165" fontId="3" fillId="8" borderId="1" xfId="0" applyNumberFormat="1" applyFont="1" applyFill="1" applyBorder="1" applyAlignment="1" applyProtection="1">
      <alignment horizontal="center" vertical="center"/>
      <protection/>
    </xf>
    <xf numFmtId="165" fontId="3" fillId="9" borderId="46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center" vertical="center"/>
      <protection/>
    </xf>
    <xf numFmtId="165" fontId="2" fillId="8" borderId="50" xfId="0" applyNumberFormat="1" applyFont="1" applyFill="1" applyBorder="1" applyAlignment="1" applyProtection="1">
      <alignment horizontal="center" vertical="center"/>
      <protection/>
    </xf>
    <xf numFmtId="165" fontId="2" fillId="9" borderId="51" xfId="0" applyNumberFormat="1" applyFont="1" applyFill="1" applyBorder="1" applyAlignment="1" applyProtection="1">
      <alignment horizontal="center" vertical="center"/>
      <protection/>
    </xf>
    <xf numFmtId="165" fontId="3" fillId="10" borderId="52" xfId="0" applyNumberFormat="1" applyFont="1" applyFill="1" applyBorder="1" applyAlignment="1" applyProtection="1">
      <alignment horizontal="center" vertical="center"/>
      <protection/>
    </xf>
    <xf numFmtId="165" fontId="3" fillId="8" borderId="49" xfId="0" applyNumberFormat="1" applyFont="1" applyFill="1" applyBorder="1" applyAlignment="1" applyProtection="1">
      <alignment horizontal="center" vertical="center"/>
      <protection/>
    </xf>
    <xf numFmtId="165" fontId="3" fillId="9" borderId="51" xfId="0" applyNumberFormat="1" applyFont="1" applyFill="1" applyBorder="1" applyAlignment="1" applyProtection="1">
      <alignment horizontal="center" vertical="center"/>
      <protection/>
    </xf>
    <xf numFmtId="165" fontId="6" fillId="11" borderId="53" xfId="0" applyNumberFormat="1" applyFont="1" applyFill="1" applyBorder="1" applyAlignment="1" applyProtection="1">
      <alignment horizontal="center" vertical="center"/>
      <protection/>
    </xf>
    <xf numFmtId="0" fontId="15" fillId="13" borderId="54" xfId="0" applyFont="1" applyFill="1" applyBorder="1" applyAlignment="1" applyProtection="1">
      <alignment horizontal="center" vertical="center" wrapText="1"/>
      <protection/>
    </xf>
    <xf numFmtId="0" fontId="15" fillId="13" borderId="55" xfId="0" applyFont="1" applyFill="1" applyBorder="1" applyAlignment="1" applyProtection="1">
      <alignment horizontal="center" vertical="center" wrapText="1"/>
      <protection locked="0"/>
    </xf>
    <xf numFmtId="0" fontId="16" fillId="13" borderId="56" xfId="0" applyFont="1" applyFill="1" applyBorder="1" applyAlignment="1" applyProtection="1">
      <alignment horizontal="center" vertical="center"/>
      <protection/>
    </xf>
    <xf numFmtId="165" fontId="16" fillId="13" borderId="57" xfId="0" applyNumberFormat="1" applyFont="1" applyFill="1" applyBorder="1" applyAlignment="1" applyProtection="1">
      <alignment horizontal="center" vertical="center"/>
      <protection/>
    </xf>
    <xf numFmtId="165" fontId="15" fillId="13" borderId="58" xfId="0" applyNumberFormat="1" applyFont="1" applyFill="1" applyBorder="1" applyAlignment="1" applyProtection="1">
      <alignment horizontal="center" vertical="center"/>
      <protection/>
    </xf>
    <xf numFmtId="165" fontId="16" fillId="13" borderId="55" xfId="0" applyNumberFormat="1" applyFont="1" applyFill="1" applyBorder="1" applyAlignment="1" applyProtection="1">
      <alignment horizontal="center" vertical="center"/>
      <protection locked="0"/>
    </xf>
    <xf numFmtId="165" fontId="15" fillId="13" borderId="56" xfId="0" applyNumberFormat="1" applyFont="1" applyFill="1" applyBorder="1" applyAlignment="1" applyProtection="1">
      <alignment horizontal="center" vertical="center"/>
      <protection/>
    </xf>
    <xf numFmtId="165" fontId="15" fillId="13" borderId="59" xfId="0" applyNumberFormat="1" applyFont="1" applyFill="1" applyBorder="1" applyAlignment="1" applyProtection="1">
      <alignment horizontal="center" vertical="center"/>
      <protection locked="0"/>
    </xf>
    <xf numFmtId="165" fontId="16" fillId="13" borderId="56" xfId="0" applyNumberFormat="1" applyFont="1" applyFill="1" applyBorder="1" applyAlignment="1" applyProtection="1">
      <alignment horizontal="center" vertical="center"/>
      <protection/>
    </xf>
    <xf numFmtId="165" fontId="16" fillId="13" borderId="58" xfId="0" applyNumberFormat="1" applyFont="1" applyFill="1" applyBorder="1" applyAlignment="1" applyProtection="1">
      <alignment horizontal="center" vertical="center"/>
      <protection/>
    </xf>
    <xf numFmtId="165" fontId="15" fillId="13" borderId="60" xfId="0" applyNumberFormat="1" applyFont="1" applyFill="1" applyBorder="1" applyAlignment="1" applyProtection="1">
      <alignment horizontal="center" vertical="center"/>
      <protection/>
    </xf>
    <xf numFmtId="165" fontId="17" fillId="13" borderId="57" xfId="0" applyNumberFormat="1" applyFont="1" applyFill="1" applyBorder="1" applyAlignment="1" applyProtection="1">
      <alignment horizontal="center" vertical="center"/>
      <protection/>
    </xf>
    <xf numFmtId="165" fontId="17" fillId="13" borderId="58" xfId="0" applyNumberFormat="1" applyFont="1" applyFill="1" applyBorder="1" applyAlignment="1" applyProtection="1">
      <alignment horizontal="center" vertical="center"/>
      <protection/>
    </xf>
    <xf numFmtId="0" fontId="11" fillId="12" borderId="54" xfId="0" applyFont="1" applyFill="1" applyBorder="1" applyAlignment="1" applyProtection="1">
      <alignment horizontal="center" vertical="center" wrapText="1"/>
      <protection/>
    </xf>
    <xf numFmtId="0" fontId="11" fillId="12" borderId="55" xfId="0" applyFont="1" applyFill="1" applyBorder="1" applyAlignment="1" applyProtection="1">
      <alignment horizontal="center" vertical="center" wrapText="1"/>
      <protection locked="0"/>
    </xf>
    <xf numFmtId="0" fontId="0" fillId="12" borderId="56" xfId="0" applyFont="1" applyFill="1" applyBorder="1" applyAlignment="1" applyProtection="1">
      <alignment horizontal="center" vertical="center"/>
      <protection/>
    </xf>
    <xf numFmtId="165" fontId="0" fillId="12" borderId="57" xfId="0" applyNumberFormat="1" applyFont="1" applyFill="1" applyBorder="1" applyAlignment="1" applyProtection="1">
      <alignment horizontal="center" vertical="center"/>
      <protection/>
    </xf>
    <xf numFmtId="165" fontId="11" fillId="12" borderId="58" xfId="0" applyNumberFormat="1" applyFont="1" applyFill="1" applyBorder="1" applyAlignment="1" applyProtection="1">
      <alignment horizontal="center" vertical="center"/>
      <protection/>
    </xf>
    <xf numFmtId="165" fontId="10" fillId="12" borderId="55" xfId="0" applyNumberFormat="1" applyFont="1" applyFill="1" applyBorder="1" applyAlignment="1" applyProtection="1">
      <alignment horizontal="center" vertical="center"/>
      <protection locked="0"/>
    </xf>
    <xf numFmtId="165" fontId="11" fillId="12" borderId="56" xfId="0" applyNumberFormat="1" applyFont="1" applyFill="1" applyBorder="1" applyAlignment="1" applyProtection="1">
      <alignment horizontal="center" vertical="center"/>
      <protection/>
    </xf>
    <xf numFmtId="165" fontId="11" fillId="12" borderId="59" xfId="0" applyNumberFormat="1" applyFont="1" applyFill="1" applyBorder="1" applyAlignment="1" applyProtection="1">
      <alignment horizontal="center" vertical="center"/>
      <protection locked="0"/>
    </xf>
    <xf numFmtId="165" fontId="10" fillId="12" borderId="56" xfId="0" applyNumberFormat="1" applyFont="1" applyFill="1" applyBorder="1" applyAlignment="1" applyProtection="1">
      <alignment horizontal="center" vertical="center"/>
      <protection/>
    </xf>
    <xf numFmtId="165" fontId="10" fillId="12" borderId="58" xfId="0" applyNumberFormat="1" applyFont="1" applyFill="1" applyBorder="1" applyAlignment="1" applyProtection="1">
      <alignment horizontal="center" vertical="center"/>
      <protection/>
    </xf>
    <xf numFmtId="165" fontId="10" fillId="12" borderId="60" xfId="0" applyNumberFormat="1" applyFont="1" applyFill="1" applyBorder="1" applyAlignment="1" applyProtection="1">
      <alignment horizontal="center" vertical="center"/>
      <protection/>
    </xf>
    <xf numFmtId="165" fontId="11" fillId="12" borderId="57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Border="1" applyAlignment="1" applyProtection="1">
      <alignment horizontal="center" vertical="center"/>
      <protection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3" fillId="2" borderId="64" xfId="0" applyNumberFormat="1" applyFont="1" applyFill="1" applyBorder="1" applyAlignment="1" applyProtection="1">
      <alignment horizontal="center" vertical="center"/>
      <protection/>
    </xf>
    <xf numFmtId="165" fontId="3" fillId="0" borderId="65" xfId="0" applyNumberFormat="1" applyFont="1" applyFill="1" applyBorder="1" applyAlignment="1" applyProtection="1">
      <alignment horizontal="center" vertical="center"/>
      <protection locked="0"/>
    </xf>
    <xf numFmtId="165" fontId="2" fillId="8" borderId="64" xfId="0" applyNumberFormat="1" applyFont="1" applyFill="1" applyBorder="1" applyAlignment="1" applyProtection="1">
      <alignment horizontal="center" vertical="center"/>
      <protection/>
    </xf>
    <xf numFmtId="165" fontId="2" fillId="9" borderId="53" xfId="0" applyNumberFormat="1" applyFont="1" applyFill="1" applyBorder="1" applyAlignment="1" applyProtection="1">
      <alignment horizontal="center" vertical="center"/>
      <protection/>
    </xf>
    <xf numFmtId="165" fontId="3" fillId="10" borderId="66" xfId="0" applyNumberFormat="1" applyFont="1" applyFill="1" applyBorder="1" applyAlignment="1" applyProtection="1">
      <alignment horizontal="center" vertical="center"/>
      <protection/>
    </xf>
    <xf numFmtId="165" fontId="3" fillId="8" borderId="63" xfId="0" applyNumberFormat="1" applyFont="1" applyFill="1" applyBorder="1" applyAlignment="1" applyProtection="1">
      <alignment horizontal="center" vertical="center"/>
      <protection/>
    </xf>
    <xf numFmtId="165" fontId="3" fillId="9" borderId="53" xfId="0" applyNumberFormat="1" applyFont="1" applyFill="1" applyBorder="1" applyAlignment="1" applyProtection="1">
      <alignment horizontal="center" vertical="center"/>
      <protection/>
    </xf>
    <xf numFmtId="165" fontId="4" fillId="0" borderId="48" xfId="0" applyNumberFormat="1" applyFont="1" applyBorder="1" applyAlignment="1" applyProtection="1">
      <alignment horizontal="center" vertical="center"/>
      <protection locked="0"/>
    </xf>
    <xf numFmtId="165" fontId="3" fillId="2" borderId="50" xfId="0" applyNumberFormat="1" applyFont="1" applyFill="1" applyBorder="1" applyAlignment="1" applyProtection="1">
      <alignment horizontal="center" vertical="center"/>
      <protection/>
    </xf>
    <xf numFmtId="165" fontId="3" fillId="0" borderId="67" xfId="0" applyNumberFormat="1" applyFont="1" applyFill="1" applyBorder="1" applyAlignment="1" applyProtection="1">
      <alignment horizontal="center" vertical="center"/>
      <protection locked="0"/>
    </xf>
    <xf numFmtId="165" fontId="6" fillId="8" borderId="5" xfId="0" applyNumberFormat="1" applyFont="1" applyFill="1" applyBorder="1" applyAlignment="1" applyProtection="1">
      <alignment horizontal="center" vertical="center"/>
      <protection/>
    </xf>
    <xf numFmtId="165" fontId="6" fillId="9" borderId="46" xfId="0" applyNumberFormat="1" applyFont="1" applyFill="1" applyBorder="1" applyAlignment="1" applyProtection="1">
      <alignment horizontal="center" vertical="center"/>
      <protection/>
    </xf>
    <xf numFmtId="165" fontId="7" fillId="8" borderId="6" xfId="0" applyNumberFormat="1" applyFont="1" applyFill="1" applyBorder="1" applyAlignment="1" applyProtection="1">
      <alignment horizontal="center" vertical="center"/>
      <protection/>
    </xf>
    <xf numFmtId="165" fontId="7" fillId="9" borderId="31" xfId="0" applyNumberFormat="1" applyFont="1" applyFill="1" applyBorder="1" applyAlignment="1" applyProtection="1">
      <alignment horizontal="center" vertical="center"/>
      <protection/>
    </xf>
    <xf numFmtId="165" fontId="6" fillId="8" borderId="6" xfId="0" applyNumberFormat="1" applyFont="1" applyFill="1" applyBorder="1" applyAlignment="1" applyProtection="1">
      <alignment horizontal="center" vertical="center"/>
      <protection/>
    </xf>
    <xf numFmtId="165" fontId="6" fillId="9" borderId="31" xfId="0" applyNumberFormat="1" applyFont="1" applyFill="1" applyBorder="1" applyAlignment="1" applyProtection="1">
      <alignment horizontal="center" vertical="center"/>
      <protection/>
    </xf>
    <xf numFmtId="0" fontId="2" fillId="14" borderId="50" xfId="0" applyFont="1" applyFill="1" applyBorder="1" applyAlignment="1" applyProtection="1">
      <alignment horizontal="center" vertical="center"/>
      <protection/>
    </xf>
    <xf numFmtId="0" fontId="2" fillId="14" borderId="5" xfId="0" applyFont="1" applyFill="1" applyBorder="1" applyAlignment="1" applyProtection="1">
      <alignment horizontal="center" vertical="center"/>
      <protection/>
    </xf>
    <xf numFmtId="0" fontId="12" fillId="14" borderId="6" xfId="0" applyFont="1" applyFill="1" applyBorder="1" applyAlignment="1" applyProtection="1">
      <alignment horizontal="center" vertical="center"/>
      <protection/>
    </xf>
    <xf numFmtId="0" fontId="2" fillId="14" borderId="6" xfId="0" applyFont="1" applyFill="1" applyBorder="1" applyAlignment="1" applyProtection="1">
      <alignment horizontal="center" vertical="center"/>
      <protection/>
    </xf>
    <xf numFmtId="165" fontId="6" fillId="11" borderId="46" xfId="0" applyNumberFormat="1" applyFont="1" applyFill="1" applyBorder="1" applyAlignment="1" applyProtection="1">
      <alignment horizontal="center" vertical="center"/>
      <protection/>
    </xf>
    <xf numFmtId="165" fontId="7" fillId="11" borderId="31" xfId="0" applyNumberFormat="1" applyFont="1" applyFill="1" applyBorder="1" applyAlignment="1" applyProtection="1">
      <alignment horizontal="center" vertical="center"/>
      <protection/>
    </xf>
    <xf numFmtId="165" fontId="6" fillId="11" borderId="51" xfId="0" applyNumberFormat="1" applyFont="1" applyFill="1" applyBorder="1" applyAlignment="1" applyProtection="1">
      <alignment horizontal="center" vertical="center"/>
      <protection/>
    </xf>
    <xf numFmtId="0" fontId="2" fillId="14" borderId="64" xfId="0" applyFont="1" applyFill="1" applyBorder="1" applyAlignment="1" applyProtection="1">
      <alignment horizontal="center" vertical="center"/>
      <protection/>
    </xf>
    <xf numFmtId="0" fontId="4" fillId="14" borderId="6" xfId="0" applyFont="1" applyFill="1" applyBorder="1" applyAlignment="1" applyProtection="1">
      <alignment horizontal="center" vertical="center"/>
      <protection/>
    </xf>
    <xf numFmtId="0" fontId="3" fillId="15" borderId="54" xfId="0" applyFont="1" applyFill="1" applyBorder="1" applyAlignment="1" applyProtection="1">
      <alignment horizontal="center" vertical="center" wrapText="1"/>
      <protection/>
    </xf>
    <xf numFmtId="0" fontId="3" fillId="15" borderId="55" xfId="0" applyFont="1" applyFill="1" applyBorder="1" applyAlignment="1" applyProtection="1">
      <alignment horizontal="center" vertical="center" wrapText="1"/>
      <protection locked="0"/>
    </xf>
    <xf numFmtId="0" fontId="2" fillId="15" borderId="56" xfId="0" applyFont="1" applyFill="1" applyBorder="1" applyAlignment="1" applyProtection="1">
      <alignment horizontal="center" vertical="center"/>
      <protection/>
    </xf>
    <xf numFmtId="165" fontId="2" fillId="15" borderId="57" xfId="0" applyNumberFormat="1" applyFont="1" applyFill="1" applyBorder="1" applyAlignment="1" applyProtection="1">
      <alignment horizontal="center" vertical="center"/>
      <protection/>
    </xf>
    <xf numFmtId="165" fontId="6" fillId="15" borderId="58" xfId="0" applyNumberFormat="1" applyFont="1" applyFill="1" applyBorder="1" applyAlignment="1" applyProtection="1">
      <alignment horizontal="center" vertical="center"/>
      <protection/>
    </xf>
    <xf numFmtId="165" fontId="4" fillId="15" borderId="55" xfId="0" applyNumberFormat="1" applyFont="1" applyFill="1" applyBorder="1" applyAlignment="1" applyProtection="1">
      <alignment horizontal="center" vertical="center"/>
      <protection locked="0"/>
    </xf>
    <xf numFmtId="165" fontId="6" fillId="15" borderId="56" xfId="0" applyNumberFormat="1" applyFont="1" applyFill="1" applyBorder="1" applyAlignment="1" applyProtection="1">
      <alignment horizontal="center" vertical="center"/>
      <protection/>
    </xf>
    <xf numFmtId="165" fontId="6" fillId="15" borderId="59" xfId="0" applyNumberFormat="1" applyFont="1" applyFill="1" applyBorder="1" applyAlignment="1" applyProtection="1">
      <alignment horizontal="center" vertical="center"/>
      <protection locked="0"/>
    </xf>
    <xf numFmtId="165" fontId="3" fillId="15" borderId="60" xfId="0" applyNumberFormat="1" applyFont="1" applyFill="1" applyBorder="1" applyAlignment="1" applyProtection="1">
      <alignment horizontal="center" vertical="center"/>
      <protection/>
    </xf>
    <xf numFmtId="165" fontId="3" fillId="15" borderId="57" xfId="0" applyNumberFormat="1" applyFont="1" applyFill="1" applyBorder="1" applyAlignment="1" applyProtection="1">
      <alignment horizontal="center" vertical="center"/>
      <protection/>
    </xf>
    <xf numFmtId="165" fontId="3" fillId="15" borderId="58" xfId="0" applyNumberFormat="1" applyFont="1" applyFill="1" applyBorder="1" applyAlignment="1" applyProtection="1">
      <alignment horizontal="center" vertical="center"/>
      <protection/>
    </xf>
    <xf numFmtId="0" fontId="3" fillId="15" borderId="61" xfId="0" applyFont="1" applyFill="1" applyBorder="1" applyAlignment="1" applyProtection="1">
      <alignment horizontal="center" vertical="center" wrapText="1"/>
      <protection/>
    </xf>
    <xf numFmtId="0" fontId="3" fillId="15" borderId="62" xfId="0" applyFont="1" applyFill="1" applyBorder="1" applyAlignment="1" applyProtection="1">
      <alignment horizontal="center" vertical="center" wrapText="1"/>
      <protection locked="0"/>
    </xf>
    <xf numFmtId="0" fontId="2" fillId="15" borderId="64" xfId="0" applyFont="1" applyFill="1" applyBorder="1" applyAlignment="1" applyProtection="1">
      <alignment horizontal="center" vertical="center"/>
      <protection/>
    </xf>
    <xf numFmtId="165" fontId="2" fillId="15" borderId="63" xfId="0" applyNumberFormat="1" applyFont="1" applyFill="1" applyBorder="1" applyAlignment="1" applyProtection="1">
      <alignment horizontal="center" vertical="center"/>
      <protection/>
    </xf>
    <xf numFmtId="165" fontId="6" fillId="15" borderId="53" xfId="0" applyNumberFormat="1" applyFont="1" applyFill="1" applyBorder="1" applyAlignment="1" applyProtection="1">
      <alignment horizontal="center" vertical="center"/>
      <protection/>
    </xf>
    <xf numFmtId="165" fontId="4" fillId="15" borderId="62" xfId="0" applyNumberFormat="1" applyFont="1" applyFill="1" applyBorder="1" applyAlignment="1" applyProtection="1">
      <alignment horizontal="center" vertical="center"/>
      <protection locked="0"/>
    </xf>
    <xf numFmtId="165" fontId="6" fillId="15" borderId="64" xfId="0" applyNumberFormat="1" applyFont="1" applyFill="1" applyBorder="1" applyAlignment="1" applyProtection="1">
      <alignment horizontal="center" vertical="center"/>
      <protection/>
    </xf>
    <xf numFmtId="165" fontId="6" fillId="15" borderId="65" xfId="0" applyNumberFormat="1" applyFont="1" applyFill="1" applyBorder="1" applyAlignment="1" applyProtection="1">
      <alignment horizontal="center" vertical="center"/>
      <protection locked="0"/>
    </xf>
    <xf numFmtId="165" fontId="6" fillId="15" borderId="66" xfId="0" applyNumberFormat="1" applyFont="1" applyFill="1" applyBorder="1" applyAlignment="1" applyProtection="1">
      <alignment horizontal="center" vertical="center"/>
      <protection/>
    </xf>
    <xf numFmtId="165" fontId="6" fillId="15" borderId="63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14" borderId="70" xfId="0" applyFont="1" applyFill="1" applyBorder="1" applyAlignment="1" applyProtection="1">
      <alignment horizontal="center" vertical="center"/>
      <protection/>
    </xf>
    <xf numFmtId="165" fontId="4" fillId="0" borderId="71" xfId="0" applyNumberFormat="1" applyFont="1" applyBorder="1" applyAlignment="1" applyProtection="1">
      <alignment horizontal="center" vertical="center"/>
      <protection locked="0"/>
    </xf>
    <xf numFmtId="165" fontId="6" fillId="11" borderId="72" xfId="0" applyNumberFormat="1" applyFont="1" applyFill="1" applyBorder="1" applyAlignment="1" applyProtection="1">
      <alignment horizontal="center" vertical="center"/>
      <protection/>
    </xf>
    <xf numFmtId="166" fontId="4" fillId="0" borderId="69" xfId="0" applyNumberFormat="1" applyFont="1" applyBorder="1" applyAlignment="1" applyProtection="1">
      <alignment horizontal="center" vertical="center"/>
      <protection locked="0"/>
    </xf>
    <xf numFmtId="165" fontId="6" fillId="2" borderId="70" xfId="0" applyNumberFormat="1" applyFont="1" applyFill="1" applyBorder="1" applyAlignment="1" applyProtection="1">
      <alignment horizontal="center" vertical="center"/>
      <protection/>
    </xf>
    <xf numFmtId="166" fontId="2" fillId="0" borderId="73" xfId="0" applyNumberFormat="1" applyFont="1" applyFill="1" applyBorder="1" applyAlignment="1" applyProtection="1">
      <alignment horizontal="center" vertical="center"/>
      <protection locked="0"/>
    </xf>
    <xf numFmtId="165" fontId="6" fillId="8" borderId="70" xfId="0" applyNumberFormat="1" applyFont="1" applyFill="1" applyBorder="1" applyAlignment="1" applyProtection="1">
      <alignment horizontal="center" vertical="center"/>
      <protection/>
    </xf>
    <xf numFmtId="165" fontId="6" fillId="9" borderId="72" xfId="0" applyNumberFormat="1" applyFont="1" applyFill="1" applyBorder="1" applyAlignment="1" applyProtection="1">
      <alignment horizontal="center" vertical="center"/>
      <protection/>
    </xf>
    <xf numFmtId="165" fontId="3" fillId="10" borderId="74" xfId="0" applyNumberFormat="1" applyFont="1" applyFill="1" applyBorder="1" applyAlignment="1" applyProtection="1">
      <alignment horizontal="center" vertical="center"/>
      <protection/>
    </xf>
    <xf numFmtId="165" fontId="3" fillId="8" borderId="71" xfId="0" applyNumberFormat="1" applyFont="1" applyFill="1" applyBorder="1" applyAlignment="1" applyProtection="1">
      <alignment horizontal="center" vertical="center"/>
      <protection/>
    </xf>
    <xf numFmtId="165" fontId="3" fillId="9" borderId="72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14" borderId="77" xfId="0" applyFont="1" applyFill="1" applyBorder="1" applyAlignment="1" applyProtection="1">
      <alignment horizontal="center" vertical="center"/>
      <protection/>
    </xf>
    <xf numFmtId="165" fontId="4" fillId="0" borderId="78" xfId="0" applyNumberFormat="1" applyFont="1" applyBorder="1" applyAlignment="1" applyProtection="1">
      <alignment horizontal="center" vertical="center"/>
      <protection locked="0"/>
    </xf>
    <xf numFmtId="165" fontId="6" fillId="11" borderId="79" xfId="0" applyNumberFormat="1" applyFont="1" applyFill="1" applyBorder="1" applyAlignment="1" applyProtection="1">
      <alignment horizontal="center" vertical="center"/>
      <protection/>
    </xf>
    <xf numFmtId="166" fontId="4" fillId="0" borderId="76" xfId="0" applyNumberFormat="1" applyFont="1" applyBorder="1" applyAlignment="1" applyProtection="1">
      <alignment horizontal="center" vertical="center"/>
      <protection locked="0"/>
    </xf>
    <xf numFmtId="165" fontId="6" fillId="2" borderId="77" xfId="0" applyNumberFormat="1" applyFont="1" applyFill="1" applyBorder="1" applyAlignment="1" applyProtection="1">
      <alignment horizontal="center" vertical="center"/>
      <protection/>
    </xf>
    <xf numFmtId="166" fontId="4" fillId="0" borderId="80" xfId="0" applyNumberFormat="1" applyFont="1" applyFill="1" applyBorder="1" applyAlignment="1" applyProtection="1">
      <alignment horizontal="center" vertical="center"/>
      <protection locked="0"/>
    </xf>
    <xf numFmtId="165" fontId="6" fillId="8" borderId="77" xfId="0" applyNumberFormat="1" applyFont="1" applyFill="1" applyBorder="1" applyAlignment="1" applyProtection="1">
      <alignment horizontal="center" vertical="center"/>
      <protection/>
    </xf>
    <xf numFmtId="165" fontId="6" fillId="9" borderId="79" xfId="0" applyNumberFormat="1" applyFont="1" applyFill="1" applyBorder="1" applyAlignment="1" applyProtection="1">
      <alignment horizontal="center" vertical="center"/>
      <protection/>
    </xf>
    <xf numFmtId="165" fontId="3" fillId="10" borderId="81" xfId="0" applyNumberFormat="1" applyFont="1" applyFill="1" applyBorder="1" applyAlignment="1" applyProtection="1">
      <alignment horizontal="center" vertical="center"/>
      <protection/>
    </xf>
    <xf numFmtId="165" fontId="3" fillId="8" borderId="78" xfId="0" applyNumberFormat="1" applyFont="1" applyFill="1" applyBorder="1" applyAlignment="1" applyProtection="1">
      <alignment horizontal="center" vertical="center"/>
      <protection/>
    </xf>
    <xf numFmtId="165" fontId="3" fillId="9" borderId="79" xfId="0" applyNumberFormat="1" applyFont="1" applyFill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12" fillId="14" borderId="70" xfId="0" applyFont="1" applyFill="1" applyBorder="1" applyAlignment="1" applyProtection="1">
      <alignment horizontal="center" vertical="center"/>
      <protection/>
    </xf>
    <xf numFmtId="165" fontId="13" fillId="0" borderId="71" xfId="0" applyNumberFormat="1" applyFont="1" applyBorder="1" applyAlignment="1" applyProtection="1">
      <alignment horizontal="center" vertical="center"/>
      <protection locked="0"/>
    </xf>
    <xf numFmtId="165" fontId="7" fillId="11" borderId="72" xfId="0" applyNumberFormat="1" applyFont="1" applyFill="1" applyBorder="1" applyAlignment="1" applyProtection="1">
      <alignment horizontal="center" vertical="center"/>
      <protection/>
    </xf>
    <xf numFmtId="165" fontId="7" fillId="2" borderId="70" xfId="0" applyNumberFormat="1" applyFont="1" applyFill="1" applyBorder="1" applyAlignment="1" applyProtection="1">
      <alignment horizontal="center" vertical="center"/>
      <protection/>
    </xf>
    <xf numFmtId="165" fontId="7" fillId="8" borderId="70" xfId="0" applyNumberFormat="1" applyFont="1" applyFill="1" applyBorder="1" applyAlignment="1" applyProtection="1">
      <alignment horizontal="center" vertical="center"/>
      <protection/>
    </xf>
    <xf numFmtId="165" fontId="7" fillId="9" borderId="72" xfId="0" applyNumberFormat="1" applyFont="1" applyFill="1" applyBorder="1" applyAlignment="1" applyProtection="1">
      <alignment horizontal="center" vertical="center"/>
      <protection/>
    </xf>
    <xf numFmtId="165" fontId="14" fillId="10" borderId="74" xfId="0" applyNumberFormat="1" applyFont="1" applyFill="1" applyBorder="1" applyAlignment="1" applyProtection="1">
      <alignment horizontal="center" vertical="center"/>
      <protection/>
    </xf>
    <xf numFmtId="165" fontId="14" fillId="8" borderId="71" xfId="0" applyNumberFormat="1" applyFont="1" applyFill="1" applyBorder="1" applyAlignment="1" applyProtection="1">
      <alignment horizontal="center" vertical="center"/>
      <protection/>
    </xf>
    <xf numFmtId="165" fontId="14" fillId="9" borderId="72" xfId="0" applyNumberFormat="1" applyFont="1" applyFill="1" applyBorder="1" applyAlignment="1" applyProtection="1">
      <alignment horizontal="center" vertical="center"/>
      <protection/>
    </xf>
    <xf numFmtId="166" fontId="2" fillId="0" borderId="76" xfId="0" applyNumberFormat="1" applyFont="1" applyBorder="1" applyAlignment="1" applyProtection="1">
      <alignment horizontal="center" vertical="center"/>
      <protection locked="0"/>
    </xf>
    <xf numFmtId="166" fontId="2" fillId="0" borderId="8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82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6" fontId="4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A1">
      <pane ySplit="6" topLeftCell="BM13" activePane="bottomLeft" state="frozen"/>
      <selection pane="topLeft" activeCell="F1" sqref="F1:F16384"/>
      <selection pane="bottomLeft" activeCell="B34" sqref="B34"/>
    </sheetView>
  </sheetViews>
  <sheetFormatPr defaultColWidth="11.421875" defaultRowHeight="12.75"/>
  <cols>
    <col min="1" max="1" width="1.8515625" style="35" customWidth="1"/>
    <col min="2" max="2" width="40.8515625" style="35" customWidth="1"/>
    <col min="3" max="3" width="6.57421875" style="35" customWidth="1"/>
    <col min="4" max="4" width="5.28125" style="35" customWidth="1"/>
    <col min="5" max="5" width="7.7109375" style="35" customWidth="1"/>
    <col min="6" max="6" width="9.57421875" style="35" customWidth="1"/>
    <col min="7" max="7" width="7.7109375" style="35" customWidth="1"/>
    <col min="8" max="8" width="8.28125" style="35" customWidth="1"/>
    <col min="9" max="9" width="7.28125" style="35" customWidth="1"/>
    <col min="10" max="10" width="9.140625" style="35" customWidth="1"/>
    <col min="11" max="11" width="8.421875" style="35" customWidth="1"/>
    <col min="12" max="12" width="9.140625" style="35" customWidth="1"/>
    <col min="13" max="13" width="9.8515625" style="35" customWidth="1"/>
    <col min="14" max="14" width="10.140625" style="35" customWidth="1"/>
    <col min="15" max="15" width="33.140625" style="35" customWidth="1"/>
    <col min="16" max="16384" width="11.421875" style="35" customWidth="1"/>
  </cols>
  <sheetData>
    <row r="1" ht="12.75"/>
    <row r="2" spans="1:15" s="17" customFormat="1" ht="15.75">
      <c r="A2" s="16"/>
      <c r="B2" s="208" t="s">
        <v>64</v>
      </c>
      <c r="C2" s="208"/>
      <c r="D2" s="209"/>
      <c r="E2" s="210"/>
      <c r="F2" s="102"/>
      <c r="O2" s="257" t="s">
        <v>68</v>
      </c>
    </row>
    <row r="3" spans="2:7" s="17" customFormat="1" ht="12.75">
      <c r="B3" s="18"/>
      <c r="C3" s="18"/>
      <c r="G3" s="102" t="s">
        <v>55</v>
      </c>
    </row>
    <row r="4" spans="2:15" s="17" customFormat="1" ht="13.5" thickBot="1">
      <c r="B4" s="19" t="s">
        <v>50</v>
      </c>
      <c r="C4" s="19"/>
      <c r="D4" s="211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13.5" thickTop="1">
      <c r="A5" s="21"/>
      <c r="B5" s="22"/>
      <c r="C5" s="23" t="s">
        <v>2</v>
      </c>
      <c r="D5" s="23"/>
      <c r="E5" s="24"/>
      <c r="F5" s="25"/>
      <c r="G5" s="26" t="s">
        <v>62</v>
      </c>
      <c r="H5" s="26"/>
      <c r="I5" s="27"/>
      <c r="J5" s="28"/>
      <c r="K5" s="29"/>
      <c r="L5" s="30" t="s">
        <v>61</v>
      </c>
      <c r="M5" s="31"/>
      <c r="N5" s="32"/>
      <c r="O5" s="33"/>
      <c r="P5" s="34"/>
    </row>
    <row r="6" spans="1:16" ht="56.25" customHeight="1" thickBot="1">
      <c r="A6" s="36"/>
      <c r="B6" s="37" t="s">
        <v>53</v>
      </c>
      <c r="C6" s="38" t="s">
        <v>58</v>
      </c>
      <c r="D6" s="39" t="s">
        <v>54</v>
      </c>
      <c r="E6" s="40" t="s">
        <v>0</v>
      </c>
      <c r="F6" s="41" t="s">
        <v>1</v>
      </c>
      <c r="G6" s="42" t="s">
        <v>17</v>
      </c>
      <c r="H6" s="43" t="s">
        <v>3</v>
      </c>
      <c r="I6" s="44" t="s">
        <v>46</v>
      </c>
      <c r="J6" s="45" t="s">
        <v>4</v>
      </c>
      <c r="K6" s="46" t="s">
        <v>5</v>
      </c>
      <c r="L6" s="47" t="s">
        <v>6</v>
      </c>
      <c r="M6" s="48" t="s">
        <v>60</v>
      </c>
      <c r="N6" s="49" t="s">
        <v>63</v>
      </c>
      <c r="O6" s="50" t="s">
        <v>16</v>
      </c>
      <c r="P6" s="34"/>
    </row>
    <row r="7" spans="1:16" s="52" customFormat="1" ht="15" customHeight="1">
      <c r="A7" s="36"/>
      <c r="B7" s="252" t="s">
        <v>66</v>
      </c>
      <c r="C7" s="13">
        <v>6</v>
      </c>
      <c r="D7" s="179">
        <f>C7*D$4</f>
        <v>30</v>
      </c>
      <c r="E7" s="1">
        <v>23</v>
      </c>
      <c r="F7" s="182">
        <f>E7*$D7</f>
        <v>690</v>
      </c>
      <c r="G7" s="5">
        <f>(E7-1-0.5)*70%</f>
        <v>15.049999999999999</v>
      </c>
      <c r="H7" s="8">
        <f aca="true" t="shared" si="0" ref="H7:H22">G7*$D7</f>
        <v>451.49999999999994</v>
      </c>
      <c r="I7" s="91">
        <v>6.9</v>
      </c>
      <c r="J7" s="172">
        <f aca="true" t="shared" si="1" ref="J7:J22">I7*$D7</f>
        <v>207</v>
      </c>
      <c r="K7" s="173">
        <v>0</v>
      </c>
      <c r="L7" s="121">
        <f aca="true" t="shared" si="2" ref="L7:L22">F7-H7</f>
        <v>238.50000000000006</v>
      </c>
      <c r="M7" s="122">
        <f aca="true" t="shared" si="3" ref="M7:M22">L7-J7</f>
        <v>31.500000000000057</v>
      </c>
      <c r="N7" s="123">
        <f aca="true" t="shared" si="4" ref="N7:N22">L7-K7</f>
        <v>238.50000000000006</v>
      </c>
      <c r="O7" s="96"/>
      <c r="P7" s="51"/>
    </row>
    <row r="8" spans="1:16" s="56" customFormat="1" ht="15" customHeight="1">
      <c r="A8" s="53"/>
      <c r="B8" s="54" t="s">
        <v>45</v>
      </c>
      <c r="C8" s="14">
        <v>0</v>
      </c>
      <c r="D8" s="180">
        <f>C8*D$4</f>
        <v>0</v>
      </c>
      <c r="E8" s="9">
        <v>28</v>
      </c>
      <c r="F8" s="183">
        <f aca="true" t="shared" si="5" ref="F8:F28">E8*$D8</f>
        <v>0</v>
      </c>
      <c r="G8" s="10">
        <f>((E8-3)-1)*70%</f>
        <v>16.799999999999997</v>
      </c>
      <c r="H8" s="11">
        <f t="shared" si="0"/>
        <v>0</v>
      </c>
      <c r="I8" s="92">
        <v>11</v>
      </c>
      <c r="J8" s="174">
        <f t="shared" si="1"/>
        <v>0</v>
      </c>
      <c r="K8" s="175">
        <v>0</v>
      </c>
      <c r="L8" s="69">
        <f t="shared" si="2"/>
        <v>0</v>
      </c>
      <c r="M8" s="70">
        <f t="shared" si="3"/>
        <v>0</v>
      </c>
      <c r="N8" s="71">
        <f t="shared" si="4"/>
        <v>0</v>
      </c>
      <c r="O8" s="97"/>
      <c r="P8" s="55"/>
    </row>
    <row r="9" spans="1:16" s="52" customFormat="1" ht="15" customHeight="1">
      <c r="A9" s="57"/>
      <c r="B9" s="212" t="s">
        <v>7</v>
      </c>
      <c r="C9" s="213">
        <v>3</v>
      </c>
      <c r="D9" s="214">
        <f>C9*D$4</f>
        <v>15</v>
      </c>
      <c r="E9" s="215">
        <v>60</v>
      </c>
      <c r="F9" s="216">
        <f t="shared" si="5"/>
        <v>900</v>
      </c>
      <c r="G9" s="217">
        <f>(E7-1-0.5)*70%</f>
        <v>15.049999999999999</v>
      </c>
      <c r="H9" s="218">
        <f t="shared" si="0"/>
        <v>225.74999999999997</v>
      </c>
      <c r="I9" s="219">
        <v>11</v>
      </c>
      <c r="J9" s="220">
        <f t="shared" si="1"/>
        <v>165</v>
      </c>
      <c r="K9" s="221">
        <v>0</v>
      </c>
      <c r="L9" s="222">
        <f t="shared" si="2"/>
        <v>674.25</v>
      </c>
      <c r="M9" s="223">
        <f t="shared" si="3"/>
        <v>509.25</v>
      </c>
      <c r="N9" s="224">
        <f t="shared" si="4"/>
        <v>674.25</v>
      </c>
      <c r="O9" s="98"/>
      <c r="P9" s="51"/>
    </row>
    <row r="10" spans="1:16" ht="15" customHeight="1">
      <c r="A10" s="53"/>
      <c r="B10" s="253" t="s">
        <v>67</v>
      </c>
      <c r="C10" s="226">
        <v>8</v>
      </c>
      <c r="D10" s="227">
        <f aca="true" t="shared" si="6" ref="D10:D22">C10*D$4</f>
        <v>40</v>
      </c>
      <c r="E10" s="228">
        <v>40</v>
      </c>
      <c r="F10" s="229">
        <f t="shared" si="5"/>
        <v>1600</v>
      </c>
      <c r="G10" s="230">
        <f>65%*(IF(E10=0,0.5,E10)-0.5)</f>
        <v>25.675</v>
      </c>
      <c r="H10" s="231">
        <f t="shared" si="0"/>
        <v>1027</v>
      </c>
      <c r="I10" s="232">
        <f>35%*E10</f>
        <v>14</v>
      </c>
      <c r="J10" s="233">
        <f t="shared" si="1"/>
        <v>560</v>
      </c>
      <c r="K10" s="234">
        <v>0</v>
      </c>
      <c r="L10" s="235">
        <f t="shared" si="2"/>
        <v>573</v>
      </c>
      <c r="M10" s="236">
        <f t="shared" si="3"/>
        <v>13</v>
      </c>
      <c r="N10" s="237">
        <f t="shared" si="4"/>
        <v>573</v>
      </c>
      <c r="O10" s="99"/>
      <c r="P10" s="34"/>
    </row>
    <row r="11" spans="1:16" ht="15" customHeight="1">
      <c r="A11" s="36"/>
      <c r="B11" s="58" t="s">
        <v>14</v>
      </c>
      <c r="C11" s="15">
        <v>4</v>
      </c>
      <c r="D11" s="181">
        <f t="shared" si="6"/>
        <v>20</v>
      </c>
      <c r="E11" s="2">
        <v>20</v>
      </c>
      <c r="F11" s="76">
        <f t="shared" si="5"/>
        <v>400</v>
      </c>
      <c r="G11" s="6">
        <f>30%*(IF(E11=0,0.5,E11)-0.5)</f>
        <v>5.85</v>
      </c>
      <c r="H11" s="12">
        <f t="shared" si="0"/>
        <v>117</v>
      </c>
      <c r="I11" s="93">
        <f>70%*E11</f>
        <v>14</v>
      </c>
      <c r="J11" s="176">
        <f t="shared" si="1"/>
        <v>280</v>
      </c>
      <c r="K11" s="177">
        <v>0</v>
      </c>
      <c r="L11" s="66">
        <f t="shared" si="2"/>
        <v>283</v>
      </c>
      <c r="M11" s="67">
        <f t="shared" si="3"/>
        <v>3</v>
      </c>
      <c r="N11" s="68">
        <f t="shared" si="4"/>
        <v>283</v>
      </c>
      <c r="O11" s="99"/>
      <c r="P11" s="34"/>
    </row>
    <row r="12" spans="1:16" s="73" customFormat="1" ht="15" customHeight="1">
      <c r="A12" s="36"/>
      <c r="B12" s="238" t="s">
        <v>13</v>
      </c>
      <c r="C12" s="239">
        <v>0</v>
      </c>
      <c r="D12" s="240">
        <f t="shared" si="6"/>
        <v>0</v>
      </c>
      <c r="E12" s="241">
        <v>10</v>
      </c>
      <c r="F12" s="242">
        <f t="shared" si="5"/>
        <v>0</v>
      </c>
      <c r="G12" s="6">
        <f>15%*(IF(E12=0,0.5,E12)-0.5)</f>
        <v>1.425</v>
      </c>
      <c r="H12" s="243">
        <f t="shared" si="0"/>
        <v>0</v>
      </c>
      <c r="I12" s="256">
        <f>65%*E12</f>
        <v>6.5</v>
      </c>
      <c r="J12" s="244">
        <f t="shared" si="1"/>
        <v>0</v>
      </c>
      <c r="K12" s="245">
        <v>0</v>
      </c>
      <c r="L12" s="246">
        <f t="shared" si="2"/>
        <v>0</v>
      </c>
      <c r="M12" s="247">
        <f t="shared" si="3"/>
        <v>0</v>
      </c>
      <c r="N12" s="248">
        <f t="shared" si="4"/>
        <v>0</v>
      </c>
      <c r="O12" s="100"/>
      <c r="P12" s="72"/>
    </row>
    <row r="13" spans="1:16" ht="15" customHeight="1">
      <c r="A13" s="74"/>
      <c r="B13" s="225" t="s">
        <v>8</v>
      </c>
      <c r="C13" s="226">
        <f>8/5</f>
        <v>1.6</v>
      </c>
      <c r="D13" s="227">
        <f t="shared" si="6"/>
        <v>8</v>
      </c>
      <c r="E13" s="228">
        <v>50</v>
      </c>
      <c r="F13" s="229">
        <f t="shared" si="5"/>
        <v>400</v>
      </c>
      <c r="G13" s="249">
        <v>34</v>
      </c>
      <c r="H13" s="231">
        <f t="shared" si="0"/>
        <v>272</v>
      </c>
      <c r="I13" s="250">
        <v>15</v>
      </c>
      <c r="J13" s="233">
        <f t="shared" si="1"/>
        <v>120</v>
      </c>
      <c r="K13" s="234">
        <v>0</v>
      </c>
      <c r="L13" s="235">
        <f t="shared" si="2"/>
        <v>128</v>
      </c>
      <c r="M13" s="236">
        <f t="shared" si="3"/>
        <v>8</v>
      </c>
      <c r="N13" s="237">
        <f t="shared" si="4"/>
        <v>128</v>
      </c>
      <c r="O13" s="99"/>
      <c r="P13" s="34"/>
    </row>
    <row r="14" spans="1:16" ht="15" customHeight="1">
      <c r="A14" s="36"/>
      <c r="B14" s="58" t="s">
        <v>9</v>
      </c>
      <c r="C14" s="15">
        <v>2</v>
      </c>
      <c r="D14" s="181">
        <f t="shared" si="6"/>
        <v>10</v>
      </c>
      <c r="E14" s="2">
        <v>100</v>
      </c>
      <c r="F14" s="76">
        <f t="shared" si="5"/>
        <v>1000</v>
      </c>
      <c r="G14" s="7">
        <f>(E14-1)*60%</f>
        <v>59.4</v>
      </c>
      <c r="H14" s="12">
        <f t="shared" si="0"/>
        <v>594</v>
      </c>
      <c r="I14" s="93">
        <v>40</v>
      </c>
      <c r="J14" s="176">
        <f t="shared" si="1"/>
        <v>400</v>
      </c>
      <c r="K14" s="177">
        <v>0</v>
      </c>
      <c r="L14" s="66">
        <f t="shared" si="2"/>
        <v>406</v>
      </c>
      <c r="M14" s="67">
        <f t="shared" si="3"/>
        <v>6</v>
      </c>
      <c r="N14" s="68">
        <f t="shared" si="4"/>
        <v>406</v>
      </c>
      <c r="O14" s="99"/>
      <c r="P14" s="34"/>
    </row>
    <row r="15" spans="1:16" ht="15" customHeight="1">
      <c r="A15" s="36"/>
      <c r="B15" s="58" t="s">
        <v>10</v>
      </c>
      <c r="C15" s="15">
        <v>4</v>
      </c>
      <c r="D15" s="181">
        <f t="shared" si="6"/>
        <v>20</v>
      </c>
      <c r="E15" s="2">
        <v>17</v>
      </c>
      <c r="F15" s="76">
        <f t="shared" si="5"/>
        <v>340</v>
      </c>
      <c r="G15" s="7">
        <v>10.1</v>
      </c>
      <c r="H15" s="12">
        <f t="shared" si="0"/>
        <v>202</v>
      </c>
      <c r="I15" s="93">
        <v>6.9</v>
      </c>
      <c r="J15" s="176">
        <f t="shared" si="1"/>
        <v>138</v>
      </c>
      <c r="K15" s="177">
        <v>0</v>
      </c>
      <c r="L15" s="66">
        <f t="shared" si="2"/>
        <v>138</v>
      </c>
      <c r="M15" s="67">
        <f t="shared" si="3"/>
        <v>0</v>
      </c>
      <c r="N15" s="68">
        <f t="shared" si="4"/>
        <v>138</v>
      </c>
      <c r="O15" s="99"/>
      <c r="P15" s="34"/>
    </row>
    <row r="16" spans="1:16" ht="15" customHeight="1">
      <c r="A16" s="36"/>
      <c r="B16" s="251" t="s">
        <v>65</v>
      </c>
      <c r="C16" s="15">
        <f>4/5</f>
        <v>0.8</v>
      </c>
      <c r="D16" s="181">
        <f t="shared" si="6"/>
        <v>4</v>
      </c>
      <c r="E16" s="2">
        <f>500</f>
        <v>500</v>
      </c>
      <c r="F16" s="76">
        <f t="shared" si="5"/>
        <v>2000</v>
      </c>
      <c r="G16" s="6">
        <f>(6.66*2+2.84)*65%</f>
        <v>10.504000000000001</v>
      </c>
      <c r="H16" s="12">
        <f t="shared" si="0"/>
        <v>42.016000000000005</v>
      </c>
      <c r="I16" s="93">
        <f>110*2</f>
        <v>220</v>
      </c>
      <c r="J16" s="176">
        <f t="shared" si="1"/>
        <v>880</v>
      </c>
      <c r="K16" s="177">
        <v>0</v>
      </c>
      <c r="L16" s="66">
        <f t="shared" si="2"/>
        <v>1957.984</v>
      </c>
      <c r="M16" s="67">
        <f t="shared" si="3"/>
        <v>1077.984</v>
      </c>
      <c r="N16" s="68">
        <f t="shared" si="4"/>
        <v>1957.984</v>
      </c>
      <c r="O16" s="99"/>
      <c r="P16" s="34"/>
    </row>
    <row r="17" spans="1:16" ht="15" customHeight="1">
      <c r="A17" s="36"/>
      <c r="B17" s="58" t="s">
        <v>11</v>
      </c>
      <c r="C17" s="15">
        <f>4/5</f>
        <v>0.8</v>
      </c>
      <c r="D17" s="181">
        <f t="shared" si="6"/>
        <v>4</v>
      </c>
      <c r="E17" s="2">
        <f>750</f>
        <v>750</v>
      </c>
      <c r="F17" s="76">
        <f t="shared" si="5"/>
        <v>3000</v>
      </c>
      <c r="G17" s="6">
        <f>107.5*70%</f>
        <v>75.25</v>
      </c>
      <c r="H17" s="12">
        <f t="shared" si="0"/>
        <v>301</v>
      </c>
      <c r="I17" s="93">
        <f>221</f>
        <v>221</v>
      </c>
      <c r="J17" s="176">
        <f t="shared" si="1"/>
        <v>884</v>
      </c>
      <c r="K17" s="177">
        <v>0</v>
      </c>
      <c r="L17" s="66">
        <f t="shared" si="2"/>
        <v>2699</v>
      </c>
      <c r="M17" s="67">
        <f t="shared" si="3"/>
        <v>1815</v>
      </c>
      <c r="N17" s="68">
        <f t="shared" si="4"/>
        <v>2699</v>
      </c>
      <c r="O17" s="99"/>
      <c r="P17" s="34"/>
    </row>
    <row r="18" spans="1:16" ht="18.75" customHeight="1">
      <c r="A18" s="36"/>
      <c r="B18" s="58" t="str">
        <f>CONCATENATE("Soins dentaires courants (dt ",1200/5*D$4," € hors nomenclature)")</f>
        <v>Soins dentaires courants (dt 1200 € hors nomenclature)</v>
      </c>
      <c r="C18" s="15">
        <v>2</v>
      </c>
      <c r="D18" s="181">
        <f t="shared" si="6"/>
        <v>10</v>
      </c>
      <c r="E18" s="2">
        <v>29</v>
      </c>
      <c r="F18" s="76">
        <f>E18*$D18+IF(D4=0,0,1200/5*D$4)</f>
        <v>1490</v>
      </c>
      <c r="G18" s="7">
        <v>8.7</v>
      </c>
      <c r="H18" s="12">
        <f t="shared" si="0"/>
        <v>87</v>
      </c>
      <c r="I18" s="93">
        <v>130</v>
      </c>
      <c r="J18" s="176">
        <f t="shared" si="1"/>
        <v>1300</v>
      </c>
      <c r="K18" s="177">
        <v>0</v>
      </c>
      <c r="L18" s="66">
        <f t="shared" si="2"/>
        <v>1403</v>
      </c>
      <c r="M18" s="67">
        <f t="shared" si="3"/>
        <v>103</v>
      </c>
      <c r="N18" s="68">
        <f t="shared" si="4"/>
        <v>1403</v>
      </c>
      <c r="O18" s="99"/>
      <c r="P18" s="34"/>
    </row>
    <row r="19" spans="1:16" ht="15" customHeight="1">
      <c r="A19" s="36"/>
      <c r="B19" s="58" t="s">
        <v>12</v>
      </c>
      <c r="C19" s="15">
        <v>3</v>
      </c>
      <c r="D19" s="181">
        <f t="shared" si="6"/>
        <v>15</v>
      </c>
      <c r="E19" s="2">
        <v>80</v>
      </c>
      <c r="F19" s="76">
        <f t="shared" si="5"/>
        <v>1200</v>
      </c>
      <c r="G19" s="6"/>
      <c r="H19" s="12">
        <f t="shared" si="0"/>
        <v>0</v>
      </c>
      <c r="I19" s="93">
        <v>80</v>
      </c>
      <c r="J19" s="176">
        <f t="shared" si="1"/>
        <v>1200</v>
      </c>
      <c r="K19" s="177">
        <v>0</v>
      </c>
      <c r="L19" s="66">
        <f t="shared" si="2"/>
        <v>1200</v>
      </c>
      <c r="M19" s="67">
        <f t="shared" si="3"/>
        <v>0</v>
      </c>
      <c r="N19" s="68">
        <f t="shared" si="4"/>
        <v>1200</v>
      </c>
      <c r="O19" s="99"/>
      <c r="P19" s="34"/>
    </row>
    <row r="20" spans="1:16" ht="15" customHeight="1">
      <c r="A20" s="36"/>
      <c r="B20" s="254"/>
      <c r="C20" s="15"/>
      <c r="D20" s="181">
        <f t="shared" si="6"/>
        <v>0</v>
      </c>
      <c r="E20" s="2"/>
      <c r="F20" s="76">
        <f t="shared" si="5"/>
        <v>0</v>
      </c>
      <c r="G20" s="6"/>
      <c r="H20" s="12">
        <f t="shared" si="0"/>
        <v>0</v>
      </c>
      <c r="I20" s="93"/>
      <c r="J20" s="176">
        <f t="shared" si="1"/>
        <v>0</v>
      </c>
      <c r="K20" s="177">
        <v>0</v>
      </c>
      <c r="L20" s="66">
        <f t="shared" si="2"/>
        <v>0</v>
      </c>
      <c r="M20" s="67">
        <f t="shared" si="3"/>
        <v>0</v>
      </c>
      <c r="N20" s="68">
        <f t="shared" si="4"/>
        <v>0</v>
      </c>
      <c r="O20" s="99"/>
      <c r="P20" s="34"/>
    </row>
    <row r="21" spans="1:16" ht="15" customHeight="1">
      <c r="A21" s="36"/>
      <c r="B21" s="254"/>
      <c r="C21" s="15"/>
      <c r="D21" s="181">
        <f t="shared" si="6"/>
        <v>0</v>
      </c>
      <c r="E21" s="2"/>
      <c r="F21" s="76">
        <f t="shared" si="5"/>
        <v>0</v>
      </c>
      <c r="G21" s="6"/>
      <c r="H21" s="12">
        <f t="shared" si="0"/>
        <v>0</v>
      </c>
      <c r="I21" s="93"/>
      <c r="J21" s="176">
        <f t="shared" si="1"/>
        <v>0</v>
      </c>
      <c r="K21" s="177">
        <v>0</v>
      </c>
      <c r="L21" s="66">
        <f t="shared" si="2"/>
        <v>0</v>
      </c>
      <c r="M21" s="67">
        <f t="shared" si="3"/>
        <v>0</v>
      </c>
      <c r="N21" s="68">
        <f t="shared" si="4"/>
        <v>0</v>
      </c>
      <c r="O21" s="99"/>
      <c r="P21" s="34"/>
    </row>
    <row r="22" spans="1:16" ht="12" customHeight="1">
      <c r="A22" s="36"/>
      <c r="B22" s="255"/>
      <c r="C22" s="15"/>
      <c r="D22" s="181">
        <f t="shared" si="6"/>
        <v>0</v>
      </c>
      <c r="E22" s="2"/>
      <c r="F22" s="76">
        <f t="shared" si="5"/>
        <v>0</v>
      </c>
      <c r="G22" s="6"/>
      <c r="H22" s="12">
        <f t="shared" si="0"/>
        <v>0</v>
      </c>
      <c r="I22" s="93"/>
      <c r="J22" s="176">
        <f t="shared" si="1"/>
        <v>0</v>
      </c>
      <c r="K22" s="177">
        <v>0</v>
      </c>
      <c r="L22" s="66">
        <f t="shared" si="2"/>
        <v>0</v>
      </c>
      <c r="M22" s="67">
        <f t="shared" si="3"/>
        <v>0</v>
      </c>
      <c r="N22" s="68">
        <f t="shared" si="4"/>
        <v>0</v>
      </c>
      <c r="O22" s="99"/>
      <c r="P22" s="34"/>
    </row>
    <row r="23" spans="1:16" s="52" customFormat="1" ht="12.75">
      <c r="A23" s="36"/>
      <c r="B23" s="187" t="s">
        <v>56</v>
      </c>
      <c r="C23" s="188"/>
      <c r="D23" s="189">
        <f>SUM(D7:D22)</f>
        <v>176</v>
      </c>
      <c r="E23" s="190"/>
      <c r="F23" s="191">
        <f>SUM(F7:F22)</f>
        <v>13020</v>
      </c>
      <c r="G23" s="192"/>
      <c r="H23" s="193">
        <f>SUM(H7:H22)</f>
        <v>3319.266</v>
      </c>
      <c r="I23" s="194"/>
      <c r="J23" s="193">
        <f>SUM(J7:J22)</f>
        <v>6134</v>
      </c>
      <c r="K23" s="191"/>
      <c r="L23" s="195">
        <f>SUM(L7:L22)</f>
        <v>9700.734</v>
      </c>
      <c r="M23" s="196">
        <f>SUM(M7:M22)</f>
        <v>3566.734</v>
      </c>
      <c r="N23" s="197">
        <f>SUM(N7:N22)</f>
        <v>9700.734</v>
      </c>
      <c r="O23" s="98"/>
      <c r="P23" s="51"/>
    </row>
    <row r="24" spans="1:16" s="52" customFormat="1" ht="12.75">
      <c r="A24" s="53"/>
      <c r="B24" s="133" t="str">
        <f>CONCATENATE("Coût des cotisations sur ",D$4," ans")</f>
        <v>Coût des cotisations sur 5 ans</v>
      </c>
      <c r="C24" s="134"/>
      <c r="D24" s="135"/>
      <c r="E24" s="136"/>
      <c r="F24" s="137"/>
      <c r="G24" s="138"/>
      <c r="H24" s="139"/>
      <c r="I24" s="140"/>
      <c r="J24" s="141"/>
      <c r="K24" s="142"/>
      <c r="L24" s="143" t="s">
        <v>48</v>
      </c>
      <c r="M24" s="144">
        <f>11500/5*$D$4</f>
        <v>11500</v>
      </c>
      <c r="N24" s="145">
        <f>530*$D$4</f>
        <v>2650</v>
      </c>
      <c r="O24" s="98"/>
      <c r="P24" s="51"/>
    </row>
    <row r="25" spans="1:16" s="52" customFormat="1" ht="22.5" customHeight="1">
      <c r="A25" s="53"/>
      <c r="B25" s="146" t="s">
        <v>51</v>
      </c>
      <c r="C25" s="147"/>
      <c r="D25" s="148"/>
      <c r="E25" s="149"/>
      <c r="F25" s="150"/>
      <c r="G25" s="151"/>
      <c r="H25" s="152"/>
      <c r="I25" s="153"/>
      <c r="J25" s="154"/>
      <c r="K25" s="155"/>
      <c r="L25" s="156"/>
      <c r="M25" s="157">
        <f>L23-(M24+M23)</f>
        <v>-5366</v>
      </c>
      <c r="N25" s="150">
        <f>L23-(N24+N23)</f>
        <v>-2650</v>
      </c>
      <c r="O25" s="98"/>
      <c r="P25" s="51"/>
    </row>
    <row r="26" spans="1:16" ht="7.5" customHeight="1">
      <c r="A26" s="53"/>
      <c r="B26" s="158"/>
      <c r="C26" s="159"/>
      <c r="D26" s="185"/>
      <c r="E26" s="160"/>
      <c r="F26" s="132"/>
      <c r="G26" s="161"/>
      <c r="H26" s="162"/>
      <c r="I26" s="163"/>
      <c r="J26" s="164"/>
      <c r="K26" s="165"/>
      <c r="L26" s="166"/>
      <c r="M26" s="167"/>
      <c r="N26" s="168"/>
      <c r="O26" s="99"/>
      <c r="P26" s="34"/>
    </row>
    <row r="27" spans="1:16" s="52" customFormat="1" ht="15" customHeight="1">
      <c r="A27" s="36"/>
      <c r="B27" s="58" t="s">
        <v>59</v>
      </c>
      <c r="C27" s="15">
        <f>7/5</f>
        <v>1.4</v>
      </c>
      <c r="D27" s="186">
        <f>C27*D4</f>
        <v>7</v>
      </c>
      <c r="E27" s="59">
        <f>1200+18+60</f>
        <v>1278</v>
      </c>
      <c r="F27" s="76">
        <f t="shared" si="5"/>
        <v>8946</v>
      </c>
      <c r="G27" s="3">
        <f>1200*80%</f>
        <v>960</v>
      </c>
      <c r="H27" s="12">
        <f>G27*$D27</f>
        <v>6720</v>
      </c>
      <c r="I27" s="94">
        <f>(18+1200*20%)</f>
        <v>258</v>
      </c>
      <c r="J27" s="60">
        <f>I27*$D27</f>
        <v>1806</v>
      </c>
      <c r="K27" s="61">
        <f>(18+1200*20%+60)*D27</f>
        <v>2226</v>
      </c>
      <c r="L27" s="62">
        <f>F27-H27</f>
        <v>2226</v>
      </c>
      <c r="M27" s="63">
        <f>L27-J27</f>
        <v>420</v>
      </c>
      <c r="N27" s="64">
        <f>L27-K27</f>
        <v>0</v>
      </c>
      <c r="O27" s="98"/>
      <c r="P27" s="51"/>
    </row>
    <row r="28" spans="1:16" ht="15" customHeight="1">
      <c r="A28" s="53"/>
      <c r="B28" s="58" t="s">
        <v>15</v>
      </c>
      <c r="C28" s="15">
        <f>1/5</f>
        <v>0.2</v>
      </c>
      <c r="D28" s="181">
        <f>C28*D4</f>
        <v>1</v>
      </c>
      <c r="E28" s="75">
        <f>(F38+H38)*1.75</f>
        <v>670.25</v>
      </c>
      <c r="F28" s="76">
        <f t="shared" si="5"/>
        <v>670.25</v>
      </c>
      <c r="G28" s="4">
        <f>F38*80%+H38*50%</f>
        <v>273.1</v>
      </c>
      <c r="H28" s="12">
        <f>G28*$D28</f>
        <v>273.1</v>
      </c>
      <c r="I28" s="95"/>
      <c r="J28" s="60">
        <f>I28*$D28</f>
        <v>0</v>
      </c>
      <c r="K28" s="65">
        <f>F28-H28</f>
        <v>397.15</v>
      </c>
      <c r="L28" s="66">
        <f>F28-H28</f>
        <v>397.15</v>
      </c>
      <c r="M28" s="67">
        <f>L28-J28</f>
        <v>397.15</v>
      </c>
      <c r="N28" s="68">
        <f>L28-K28</f>
        <v>0</v>
      </c>
      <c r="O28" s="99"/>
      <c r="P28" s="34"/>
    </row>
    <row r="29" spans="1:16" ht="12.75">
      <c r="A29" s="36"/>
      <c r="B29" s="124"/>
      <c r="C29" s="125"/>
      <c r="D29" s="178"/>
      <c r="E29" s="126"/>
      <c r="F29" s="184"/>
      <c r="G29" s="169"/>
      <c r="H29" s="170"/>
      <c r="I29" s="171"/>
      <c r="J29" s="127"/>
      <c r="K29" s="128"/>
      <c r="L29" s="129"/>
      <c r="M29" s="130"/>
      <c r="N29" s="131"/>
      <c r="O29" s="99"/>
      <c r="P29" s="34"/>
    </row>
    <row r="30" spans="1:16" s="52" customFormat="1" ht="12.75">
      <c r="A30" s="36"/>
      <c r="B30" s="198" t="s">
        <v>57</v>
      </c>
      <c r="C30" s="199"/>
      <c r="D30" s="200"/>
      <c r="E30" s="201"/>
      <c r="F30" s="202">
        <f>F23+SUM(F27:F29)</f>
        <v>22636.25</v>
      </c>
      <c r="G30" s="203"/>
      <c r="H30" s="204">
        <f>H23+SUM(H27:H29)</f>
        <v>10312.366</v>
      </c>
      <c r="I30" s="205"/>
      <c r="J30" s="204">
        <f>J23+SUM(J27:J29)</f>
        <v>7940</v>
      </c>
      <c r="K30" s="202">
        <f>K23+SUM(K27:K29)</f>
        <v>2623.15</v>
      </c>
      <c r="L30" s="206">
        <f>L23+SUM(L27:L29)</f>
        <v>12323.884</v>
      </c>
      <c r="M30" s="207">
        <f>M23+SUM(M27:M29)</f>
        <v>4383.884</v>
      </c>
      <c r="N30" s="202">
        <f>N23+SUM(N27:N29)</f>
        <v>9700.734</v>
      </c>
      <c r="O30" s="101"/>
      <c r="P30" s="51"/>
    </row>
    <row r="31" spans="1:16" s="52" customFormat="1" ht="21" customHeight="1" thickBot="1">
      <c r="A31" s="53"/>
      <c r="B31" s="103" t="s">
        <v>52</v>
      </c>
      <c r="C31" s="104"/>
      <c r="D31" s="105"/>
      <c r="E31" s="106"/>
      <c r="F31" s="107"/>
      <c r="G31" s="108"/>
      <c r="H31" s="109"/>
      <c r="I31" s="110"/>
      <c r="J31" s="111"/>
      <c r="K31" s="112"/>
      <c r="L31" s="113"/>
      <c r="M31" s="114">
        <f>L30-(M24+M30)</f>
        <v>-3560</v>
      </c>
      <c r="N31" s="107">
        <f>L30-(N24+N30)</f>
        <v>-26.850000000000364</v>
      </c>
      <c r="O31" s="115"/>
      <c r="P31" s="51"/>
    </row>
    <row r="32" spans="1:16" s="52" customFormat="1" ht="13.5" thickTop="1">
      <c r="A32" s="77"/>
      <c r="B32" s="116"/>
      <c r="C32" s="116"/>
      <c r="D32" s="117"/>
      <c r="E32" s="118"/>
      <c r="F32" s="119"/>
      <c r="G32" s="119"/>
      <c r="H32" s="118"/>
      <c r="I32" s="118"/>
      <c r="J32" s="118"/>
      <c r="K32" s="118"/>
      <c r="L32" s="118"/>
      <c r="M32" s="118"/>
      <c r="N32" s="118"/>
      <c r="O32" s="120"/>
      <c r="P32" s="77"/>
    </row>
    <row r="33" spans="1:16" s="52" customFormat="1" ht="12.75">
      <c r="A33" s="77"/>
      <c r="B33" s="81" t="s">
        <v>47</v>
      </c>
      <c r="C33" s="81"/>
      <c r="D33" s="78"/>
      <c r="E33" s="79"/>
      <c r="F33" s="80"/>
      <c r="G33" s="80"/>
      <c r="H33" s="79"/>
      <c r="I33" s="79"/>
      <c r="J33" s="79"/>
      <c r="K33" s="79"/>
      <c r="L33" s="79"/>
      <c r="M33" s="79"/>
      <c r="N33" s="79"/>
      <c r="O33" s="77"/>
      <c r="P33" s="77"/>
    </row>
    <row r="34" spans="1:16" s="52" customFormat="1" ht="12.75">
      <c r="A34" s="77"/>
      <c r="B34" s="77"/>
      <c r="C34" s="77"/>
      <c r="D34" s="78"/>
      <c r="E34" s="79"/>
      <c r="F34" s="80"/>
      <c r="G34" s="80"/>
      <c r="H34" s="79"/>
      <c r="I34" s="79"/>
      <c r="J34" s="79"/>
      <c r="K34" s="79"/>
      <c r="L34" s="79"/>
      <c r="M34" s="79"/>
      <c r="N34" s="79"/>
      <c r="O34" s="77"/>
      <c r="P34" s="77"/>
    </row>
    <row r="35" spans="1:16" s="52" customFormat="1" ht="12.75">
      <c r="A35" s="77"/>
      <c r="B35" s="77"/>
      <c r="C35" s="77"/>
      <c r="D35" s="78"/>
      <c r="E35" s="79"/>
      <c r="F35" s="80"/>
      <c r="G35" s="80"/>
      <c r="H35" s="79"/>
      <c r="I35" s="79"/>
      <c r="J35" s="79"/>
      <c r="K35" s="79"/>
      <c r="L35" s="79"/>
      <c r="M35" s="79"/>
      <c r="N35" s="79"/>
      <c r="O35" s="77"/>
      <c r="P35" s="77"/>
    </row>
    <row r="36" spans="1:16" s="52" customFormat="1" ht="12.75">
      <c r="A36" s="77"/>
      <c r="B36" s="82" t="s">
        <v>49</v>
      </c>
      <c r="C36" s="82"/>
      <c r="D36" s="83"/>
      <c r="E36" s="84"/>
      <c r="F36" s="80"/>
      <c r="G36" s="80"/>
      <c r="H36" s="79"/>
      <c r="I36" s="79"/>
      <c r="J36" s="79"/>
      <c r="K36" s="79"/>
      <c r="L36" s="79"/>
      <c r="M36" s="79"/>
      <c r="N36" s="79"/>
      <c r="O36" s="77"/>
      <c r="P36" s="77"/>
    </row>
    <row r="37" spans="1:16" ht="12.75">
      <c r="A37" s="77"/>
      <c r="B37" s="85" t="s">
        <v>18</v>
      </c>
      <c r="C37" s="85"/>
      <c r="D37" s="83"/>
      <c r="E37" s="84"/>
      <c r="F37" s="86" t="s">
        <v>20</v>
      </c>
      <c r="G37" s="86"/>
      <c r="H37" s="86" t="s">
        <v>21</v>
      </c>
      <c r="I37" s="86"/>
      <c r="J37" s="84"/>
      <c r="K37" s="84"/>
      <c r="L37" s="84"/>
      <c r="M37" s="84"/>
      <c r="N37" s="84"/>
      <c r="O37" s="87"/>
      <c r="P37" s="87"/>
    </row>
    <row r="38" spans="1:16" ht="12.75">
      <c r="A38" s="87"/>
      <c r="B38" s="88" t="s">
        <v>19</v>
      </c>
      <c r="C38" s="88"/>
      <c r="D38" s="87"/>
      <c r="E38" s="87"/>
      <c r="F38" s="84">
        <v>272</v>
      </c>
      <c r="G38" s="84"/>
      <c r="H38" s="84">
        <v>111</v>
      </c>
      <c r="I38" s="84"/>
      <c r="J38" s="84"/>
      <c r="K38" s="84"/>
      <c r="L38" s="84"/>
      <c r="M38" s="84"/>
      <c r="N38" s="84"/>
      <c r="O38" s="87"/>
      <c r="P38" s="87"/>
    </row>
    <row r="39" spans="1:16" ht="12.75">
      <c r="A39" s="87"/>
      <c r="B39" s="88" t="s">
        <v>22</v>
      </c>
      <c r="C39" s="88"/>
      <c r="D39" s="87"/>
      <c r="E39" s="87"/>
      <c r="F39" s="84">
        <v>179</v>
      </c>
      <c r="G39" s="87"/>
      <c r="H39" s="84">
        <v>70</v>
      </c>
      <c r="I39" s="84"/>
      <c r="J39" s="87"/>
      <c r="K39" s="87"/>
      <c r="L39" s="87"/>
      <c r="M39" s="87"/>
      <c r="N39" s="87"/>
      <c r="O39" s="87"/>
      <c r="P39" s="87"/>
    </row>
    <row r="40" spans="2:9" ht="12.75">
      <c r="B40" s="89" t="s">
        <v>23</v>
      </c>
      <c r="C40" s="89"/>
      <c r="F40" s="90">
        <v>235</v>
      </c>
      <c r="H40" s="90">
        <v>86</v>
      </c>
      <c r="I40" s="90"/>
    </row>
    <row r="41" spans="2:9" ht="12.75">
      <c r="B41" s="89" t="s">
        <v>24</v>
      </c>
      <c r="C41" s="89"/>
      <c r="F41" s="90">
        <v>70</v>
      </c>
      <c r="H41" s="90">
        <v>61</v>
      </c>
      <c r="I41" s="90"/>
    </row>
    <row r="42" spans="2:9" ht="12.75">
      <c r="B42" s="89" t="s">
        <v>25</v>
      </c>
      <c r="C42" s="89"/>
      <c r="F42" s="90">
        <v>290</v>
      </c>
      <c r="H42" s="90">
        <v>148</v>
      </c>
      <c r="I42" s="90"/>
    </row>
    <row r="43" spans="2:9" ht="12.75">
      <c r="B43" s="89" t="s">
        <v>26</v>
      </c>
      <c r="C43" s="89"/>
      <c r="F43" s="90">
        <v>490</v>
      </c>
      <c r="H43" s="90">
        <v>230</v>
      </c>
      <c r="I43" s="90"/>
    </row>
    <row r="44" spans="2:9" ht="12.75">
      <c r="B44" s="89" t="s">
        <v>27</v>
      </c>
      <c r="C44" s="89"/>
      <c r="F44" s="90">
        <v>314</v>
      </c>
      <c r="H44" s="90">
        <v>209</v>
      </c>
      <c r="I44" s="90"/>
    </row>
    <row r="45" spans="2:9" ht="12.75">
      <c r="B45" s="89" t="s">
        <v>28</v>
      </c>
      <c r="C45" s="89"/>
      <c r="F45" s="90">
        <v>215</v>
      </c>
      <c r="H45" s="90">
        <v>104</v>
      </c>
      <c r="I45" s="90"/>
    </row>
    <row r="46" spans="2:9" ht="12.75">
      <c r="B46" s="89" t="s">
        <v>29</v>
      </c>
      <c r="C46" s="89"/>
      <c r="F46" s="90">
        <v>304</v>
      </c>
      <c r="H46" s="90">
        <v>169</v>
      </c>
      <c r="I46" s="90"/>
    </row>
    <row r="47" spans="2:9" ht="12.75">
      <c r="B47" s="89" t="s">
        <v>30</v>
      </c>
      <c r="C47" s="89"/>
      <c r="F47" s="90">
        <v>300</v>
      </c>
      <c r="H47" s="90">
        <v>177</v>
      </c>
      <c r="I47" s="90"/>
    </row>
    <row r="48" spans="2:9" ht="12.75">
      <c r="B48" s="89" t="s">
        <v>31</v>
      </c>
      <c r="C48" s="89"/>
      <c r="F48" s="90">
        <v>221</v>
      </c>
      <c r="H48" s="90">
        <v>128</v>
      </c>
      <c r="I48" s="90"/>
    </row>
    <row r="49" spans="2:9" ht="12.75">
      <c r="B49" s="89" t="s">
        <v>32</v>
      </c>
      <c r="C49" s="89"/>
      <c r="F49" s="90">
        <v>49</v>
      </c>
      <c r="H49" s="90">
        <v>62</v>
      </c>
      <c r="I49" s="90"/>
    </row>
    <row r="50" spans="2:9" ht="12.75">
      <c r="B50" s="89" t="s">
        <v>33</v>
      </c>
      <c r="C50" s="89"/>
      <c r="F50" s="90">
        <v>189</v>
      </c>
      <c r="H50" s="90">
        <v>79</v>
      </c>
      <c r="I50" s="90"/>
    </row>
    <row r="51" spans="2:9" ht="12.75">
      <c r="B51" s="89" t="s">
        <v>34</v>
      </c>
      <c r="C51" s="89"/>
      <c r="F51" s="90">
        <v>107</v>
      </c>
      <c r="H51" s="90">
        <v>80</v>
      </c>
      <c r="I51" s="90"/>
    </row>
    <row r="52" spans="2:9" ht="12.75">
      <c r="B52" s="89" t="s">
        <v>35</v>
      </c>
      <c r="C52" s="89"/>
      <c r="F52" s="90">
        <v>47</v>
      </c>
      <c r="H52" s="90">
        <v>59</v>
      </c>
      <c r="I52" s="90"/>
    </row>
    <row r="53" spans="2:9" ht="12.75">
      <c r="B53" s="89" t="s">
        <v>36</v>
      </c>
      <c r="C53" s="89"/>
      <c r="F53" s="90">
        <v>63</v>
      </c>
      <c r="H53" s="90">
        <v>57</v>
      </c>
      <c r="I53" s="90"/>
    </row>
    <row r="54" spans="2:9" ht="12.75">
      <c r="B54" s="89" t="s">
        <v>37</v>
      </c>
      <c r="C54" s="89"/>
      <c r="F54" s="90">
        <v>110</v>
      </c>
      <c r="H54" s="90">
        <v>72</v>
      </c>
      <c r="I54" s="90"/>
    </row>
    <row r="55" spans="2:9" ht="12.75">
      <c r="B55" s="89" t="s">
        <v>38</v>
      </c>
      <c r="C55" s="89"/>
      <c r="F55" s="90">
        <v>411</v>
      </c>
      <c r="H55" s="90">
        <v>164</v>
      </c>
      <c r="I55" s="90"/>
    </row>
    <row r="56" spans="2:9" ht="12.75">
      <c r="B56" s="89" t="s">
        <v>39</v>
      </c>
      <c r="C56" s="89"/>
      <c r="F56" s="90">
        <v>117</v>
      </c>
      <c r="H56" s="90">
        <v>56</v>
      </c>
      <c r="I56" s="90"/>
    </row>
    <row r="57" spans="2:9" ht="12.75">
      <c r="B57" s="89" t="s">
        <v>40</v>
      </c>
      <c r="C57" s="89"/>
      <c r="F57" s="90">
        <v>583</v>
      </c>
      <c r="H57" s="90">
        <v>271</v>
      </c>
      <c r="I57" s="90"/>
    </row>
    <row r="58" spans="2:9" ht="12.75">
      <c r="B58" s="89" t="s">
        <v>41</v>
      </c>
      <c r="C58" s="89"/>
      <c r="F58" s="90">
        <v>592</v>
      </c>
      <c r="H58" s="90">
        <v>219</v>
      </c>
      <c r="I58" s="90"/>
    </row>
    <row r="59" spans="2:9" ht="12.75">
      <c r="B59" s="89" t="s">
        <v>42</v>
      </c>
      <c r="C59" s="89"/>
      <c r="F59" s="90">
        <v>292</v>
      </c>
      <c r="H59" s="90">
        <v>147</v>
      </c>
      <c r="I59" s="90"/>
    </row>
    <row r="60" spans="2:9" ht="12.75">
      <c r="B60" s="89" t="s">
        <v>43</v>
      </c>
      <c r="C60" s="89"/>
      <c r="F60" s="90">
        <v>264</v>
      </c>
      <c r="H60" s="90">
        <v>146</v>
      </c>
      <c r="I60" s="90"/>
    </row>
    <row r="61" spans="2:9" ht="12.75">
      <c r="B61" s="89" t="s">
        <v>44</v>
      </c>
      <c r="C61" s="89"/>
      <c r="F61" s="90">
        <v>57</v>
      </c>
      <c r="H61" s="90" t="s">
        <v>48</v>
      </c>
      <c r="I61" s="90"/>
    </row>
  </sheetData>
  <sheetProtection/>
  <conditionalFormatting sqref="M25:N25 M31:N31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D4">
      <formula1>"0,1,2,3,4,5,6,7,8,9,10"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dcterms:created xsi:type="dcterms:W3CDTF">2014-02-12T13:53:48Z</dcterms:created>
  <dcterms:modified xsi:type="dcterms:W3CDTF">2014-07-29T09:36:11Z</dcterms:modified>
  <cp:category/>
  <cp:version/>
  <cp:contentType/>
  <cp:contentStatus/>
</cp:coreProperties>
</file>